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ables/table1.xml" ContentType="application/vnd.openxmlformats-officedocument.spreadsheetml.table+xml"/>
  <Override PartName="/xl/worksheets/sheet4.xml" ContentType="application/vnd.openxmlformats-officedocument.spreadsheetml.worksheet+xml"/>
  <Override PartName="/xl/tables/table2.xml" ContentType="application/vnd.openxmlformats-officedocument.spreadsheetml.table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shboard" sheetId="1" state="visible" r:id="rId1"/>
    <sheet xmlns:r="http://schemas.openxmlformats.org/officeDocument/2006/relationships" name="Month View" sheetId="2" state="visible" r:id="rId2"/>
    <sheet xmlns:r="http://schemas.openxmlformats.org/officeDocument/2006/relationships" name="Calendar Events" sheetId="3" state="visible" r:id="rId3"/>
    <sheet xmlns:r="http://schemas.openxmlformats.org/officeDocument/2006/relationships" name="Academic Terms" sheetId="4" state="visible" r:id="rId4"/>
    <sheet xmlns:r="http://schemas.openxmlformats.org/officeDocument/2006/relationships" name="Instructions" sheetId="5" state="visible" r:id="rId5"/>
  </sheets>
  <definedNames/>
  <calcPr calcId="124519" calcMode="auto" fullCalcOnLoad="1" forceFullCalc="1"/>
</workbook>
</file>

<file path=xl/styles.xml><?xml version="1.0" encoding="utf-8"?>
<styleSheet xmlns="http://schemas.openxmlformats.org/spreadsheetml/2006/main">
  <numFmts count="4">
    <numFmt numFmtId="164" formatCode="mm/dd/yyyy"/>
    <numFmt numFmtId="165" formatCode="mmm yyyy"/>
    <numFmt numFmtId="166" formatCode="mmmm yyyy"/>
    <numFmt numFmtId="167" formatCode="d"/>
  </numFmts>
  <fonts count="7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b val="1"/>
      <color rgb="00263238"/>
      <sz val="10"/>
    </font>
    <font>
      <name val="Calibri"/>
      <color rgb="00263238"/>
      <sz val="10"/>
    </font>
    <font>
      <name val="Calibri"/>
      <b val="1"/>
      <color rgb="00FFFFFF"/>
      <sz val="10"/>
    </font>
    <font>
      <name val="Calibri"/>
      <i val="1"/>
      <color rgb="007A8589"/>
      <sz val="10"/>
    </font>
    <font>
      <name val="Calibri"/>
      <b val="1"/>
      <color rgb="00183B4E"/>
      <sz val="12"/>
    </font>
  </fonts>
  <fills count="6">
    <fill>
      <patternFill/>
    </fill>
    <fill>
      <patternFill patternType="gray125"/>
    </fill>
    <fill>
      <patternFill patternType="solid">
        <fgColor rgb="00183B4E"/>
      </patternFill>
    </fill>
    <fill>
      <patternFill patternType="solid">
        <fgColor rgb="00FFF1C9"/>
      </patternFill>
    </fill>
    <fill>
      <patternFill patternType="solid">
        <fgColor rgb="00E7EBED"/>
      </patternFill>
    </fill>
    <fill>
      <patternFill patternType="solid">
        <fgColor rgb="002F6F73"/>
      </patternFill>
    </fill>
  </fills>
  <borders count="6">
    <border>
      <left/>
      <right/>
      <top/>
      <bottom/>
      <diagonal/>
    </border>
    <border>
      <left style="thin">
        <color rgb="00C9D7D9"/>
      </left>
      <right style="thin">
        <color rgb="00C9D7D9"/>
      </right>
      <top style="thin">
        <color rgb="00C9D7D9"/>
      </top>
      <bottom style="thin">
        <color rgb="00C9D7D9"/>
      </bottom>
    </border>
    <border>
      <left/>
      <right/>
      <top style="thin">
        <color rgb="00C9D7D9"/>
      </top>
      <bottom/>
      <diagonal/>
    </border>
    <border>
      <left/>
      <right style="thin">
        <color rgb="00C9D7D9"/>
      </right>
      <top style="thin">
        <color rgb="00C9D7D9"/>
      </top>
      <bottom/>
      <diagonal/>
    </border>
    <border>
      <left/>
      <right/>
      <top style="thin">
        <color rgb="00C9D7D9"/>
      </top>
      <bottom style="thin">
        <color rgb="00C9D7D9"/>
      </bottom>
      <diagonal/>
    </border>
    <border>
      <left/>
      <right style="thin">
        <color rgb="00C9D7D9"/>
      </right>
      <top style="thin">
        <color rgb="00C9D7D9"/>
      </top>
      <bottom style="thin">
        <color rgb="00C9D7D9"/>
      </bottom>
      <diagonal/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0" borderId="0" pivotButton="0" quotePrefix="0" xfId="0"/>
    <xf numFmtId="0" fontId="3" fillId="3" borderId="1" pivotButton="0" quotePrefix="0" xfId="0"/>
    <xf numFmtId="164" fontId="3" fillId="3" borderId="1" pivotButton="0" quotePrefix="0" xfId="0"/>
    <xf numFmtId="1" fontId="3" fillId="3" borderId="1" pivotButton="0" quotePrefix="0" xfId="0"/>
    <xf numFmtId="0" fontId="2" fillId="0" borderId="1" pivotButton="0" quotePrefix="0" xfId="0"/>
    <xf numFmtId="0" fontId="2" fillId="4" borderId="1" pivotButton="0" quotePrefix="0" xfId="0"/>
    <xf numFmtId="164" fontId="2" fillId="4" borderId="1" pivotButton="0" quotePrefix="0" xfId="0"/>
    <xf numFmtId="0" fontId="4" fillId="5" borderId="1" applyAlignment="1" pivotButton="0" quotePrefix="0" xfId="0">
      <alignment horizontal="center" vertical="center"/>
    </xf>
    <xf numFmtId="0" fontId="0" fillId="0" borderId="1" pivotButton="0" quotePrefix="0" xfId="0"/>
    <xf numFmtId="0" fontId="0" fillId="4" borderId="1" pivotButton="0" quotePrefix="0" xfId="0"/>
    <xf numFmtId="165" fontId="0" fillId="0" borderId="1" pivotButton="0" quotePrefix="0" xfId="0"/>
    <xf numFmtId="166" fontId="0" fillId="3" borderId="1" pivotButton="0" quotePrefix="0" xfId="0"/>
    <xf numFmtId="167" fontId="2" fillId="4" borderId="1" applyAlignment="1" pivotButton="0" quotePrefix="0" xfId="0">
      <alignment horizontal="right" vertical="top"/>
    </xf>
    <xf numFmtId="0" fontId="5" fillId="0" borderId="0" pivotButton="0" quotePrefix="0" xfId="0"/>
    <xf numFmtId="0" fontId="3" fillId="3" borderId="1" applyAlignment="1" pivotButton="0" quotePrefix="0" xfId="0">
      <alignment horizontal="left" vertical="center"/>
    </xf>
    <xf numFmtId="164" fontId="3" fillId="3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left" vertical="center"/>
    </xf>
    <xf numFmtId="0" fontId="6" fillId="0" borderId="0" pivotButton="0" quotePrefix="0" xfId="0"/>
    <xf numFmtId="0" fontId="0" fillId="0" borderId="1" applyAlignment="1" pivotButton="0" quotePrefix="0" xfId="0">
      <alignment horizontal="left" vertical="top" wrapText="1"/>
    </xf>
    <xf numFmtId="164" fontId="3" fillId="3" borderId="1" pivotButton="0" quotePrefix="0" xfId="0"/>
    <xf numFmtId="164" fontId="2" fillId="4" borderId="1" pivotButton="0" quotePrefix="0" xfId="0"/>
    <xf numFmtId="165" fontId="0" fillId="0" borderId="1" pivotButton="0" quotePrefix="0" xfId="0"/>
    <xf numFmtId="166" fontId="0" fillId="3" borderId="1" pivotButton="0" quotePrefix="0" xfId="0"/>
    <xf numFmtId="167" fontId="2" fillId="4" borderId="1" applyAlignment="1" pivotButton="0" quotePrefix="0" xfId="0">
      <alignment horizontal="right" vertical="top"/>
    </xf>
    <xf numFmtId="164" fontId="3" fillId="3" borderId="1" applyAlignment="1" pivotButton="0" quotePrefix="0" xfId="0">
      <alignment horizontal="left" vertical="center"/>
    </xf>
    <xf numFmtId="0" fontId="0" fillId="0" borderId="4" pivotButton="0" quotePrefix="0" xfId="0"/>
    <xf numFmtId="0" fontId="0" fillId="0" borderId="5" pivotButton="0" quotePrefix="0" xfId="0"/>
  </cellXfs>
  <cellStyles count="1">
    <cellStyle name="Normal" xfId="0" builtinId="0" hidden="0"/>
  </cellStyles>
  <dxfs count="7">
    <dxf>
      <font>
        <name val="Calibri"/>
        <b val="1"/>
        <color rgb="00B7473A"/>
        <sz val="10"/>
      </font>
      <fill>
        <patternFill patternType="solid">
          <fgColor rgb="00F4D7D3"/>
        </patternFill>
      </fill>
    </dxf>
    <dxf>
      <fill>
        <patternFill patternType="solid">
          <fgColor rgb="00FFF2CC"/>
        </patternFill>
      </fill>
    </dxf>
    <dxf>
      <font>
        <name val="Calibri"/>
        <color rgb="002F7D5B"/>
        <sz val="10"/>
      </font>
      <fill>
        <patternFill patternType="solid">
          <fgColor rgb="00DDEFE6"/>
        </patternFill>
      </fill>
    </dxf>
    <dxf>
      <font>
        <name val="Calibri"/>
        <color rgb="007A8589"/>
        <sz val="10"/>
      </font>
      <fill>
        <patternFill patternType="solid">
          <fgColor rgb="00E3E6E8"/>
        </patternFill>
      </fill>
    </dxf>
    <dxf>
      <font>
        <name val="Calibri"/>
        <b val="1"/>
        <color rgb="00263238"/>
        <sz val="10"/>
      </font>
      <fill>
        <patternFill patternType="solid">
          <fgColor rgb="00FFF2CC"/>
        </patternFill>
      </fill>
    </dxf>
    <dxf>
      <fill>
        <patternFill patternType="solid">
          <fgColor rgb="00DCECF2"/>
        </patternFill>
      </fill>
    </dxf>
    <dxf>
      <font>
        <name val="Calibri"/>
        <color rgb="007A8589"/>
        <sz val="1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Active Events by Category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'Dashboard'!B18</f>
            </strRef>
          </tx>
          <spPr>
            <a:ln xmlns:a="http://schemas.openxmlformats.org/drawingml/2006/main">
              <a:prstDash val="solid"/>
            </a:ln>
          </spPr>
          <cat>
            <numRef>
              <f>'Dashboard'!$A$19:$A$27</f>
            </numRef>
          </cat>
          <val>
            <numRef>
              <f>'Dashboard'!$B$19:$B$27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Events Starting by Month</a:t>
            </a:r>
          </a:p>
        </rich>
      </tx>
    </title>
    <plotArea>
      <lineChart>
        <grouping val="standard"/>
        <ser>
          <idx val="0"/>
          <order val="0"/>
          <tx>
            <strRef>
              <f>'Dashboard'!E18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'Dashboard'!$D$19:$D$30</f>
            </numRef>
          </cat>
          <val>
            <numRef>
              <f>'Dashboard'!$E$19:$E$30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3</col>
      <colOff>0</colOff>
      <row>2</row>
      <rowOff>0</rowOff>
    </from>
    <ext cx="4860000" cy="2556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6</col>
      <colOff>0</colOff>
      <row>16</row>
      <rowOff>0</rowOff>
    </from>
    <ext cx="5220000" cy="2592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ables/table1.xml><?xml version="1.0" encoding="utf-8"?>
<table xmlns="http://schemas.openxmlformats.org/spreadsheetml/2006/main" id="1" name="tblCalendarEvents" displayName="tblCalendarEvents" ref="A5:P205" headerRowCount="1">
  <autoFilter ref="A5:P205"/>
  <tableColumns count="16">
    <tableColumn id="1" name="Event ID"/>
    <tableColumn id="2" name="Academic Year"/>
    <tableColumn id="3" name="Term"/>
    <tableColumn id="4" name="Start Date"/>
    <tableColumn id="5" name="End Date"/>
    <tableColumn id="6" name="Event Name"/>
    <tableColumn id="7" name="Category"/>
    <tableColumn id="8" name="Campus Status"/>
    <tableColumn id="9" name="Audience"/>
    <tableColumn id="10" name="Owner"/>
    <tableColumn id="11" name="Status"/>
    <tableColumn id="12" name="Notes"/>
    <tableColumn id="13" name="Duration (Days)"/>
    <tableColumn id="14" name="Outside Term?"/>
    <tableColumn id="15" name="Owner Conflict?"/>
    <tableColumn id="16" name="Review Alert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tblAcademicTerms" displayName="tblAcademicTerms" ref="A5:J101" headerRowCount="1">
  <autoFilter ref="A5:J101"/>
  <tableColumns count="10">
    <tableColumn id="1" name="Academic Year"/>
    <tableColumn id="2" name="Term Name"/>
    <tableColumn id="3" name="Term Start Date"/>
    <tableColumn id="4" name="Term End Date"/>
    <tableColumn id="5" name="Instruction Start Date"/>
    <tableColumn id="6" name="Instruction End Date"/>
    <tableColumn id="7" name="Term Status"/>
    <tableColumn id="8" name="Notes"/>
    <tableColumn id="9" name="Term Days"/>
    <tableColumn id="10" name="Review Alert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4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101"/>
  <sheetViews>
    <sheetView showGridLines="0" workbookViewId="0">
      <selection activeCell="A1" sqref="A1"/>
    </sheetView>
  </sheetViews>
  <sheetFormatPr baseColWidth="8" defaultRowHeight="18"/>
  <cols>
    <col width="25" customWidth="1" min="1" max="1"/>
    <col width="20" customWidth="1" min="2" max="2"/>
    <col width="3" customWidth="1" min="3" max="3"/>
    <col width="14" customWidth="1" min="4" max="4"/>
    <col width="16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  <col width="13" customWidth="1" min="13" max="13"/>
    <col width="13" customWidth="1" min="14" max="14"/>
  </cols>
  <sheetData>
    <row r="1" ht="26" customHeight="1">
      <c r="A1" s="1" t="inlineStr">
        <is>
          <t>Pine Ridge Learning Institute Academic Calendar Planner</t>
        </is>
      </c>
    </row>
    <row r="2"/>
    <row r="3">
      <c r="A3" s="2" t="inlineStr">
        <is>
          <t>Selected Academic Year</t>
        </is>
      </c>
      <c r="B3" s="3" t="inlineStr">
        <is>
          <t>2026-2027</t>
        </is>
      </c>
    </row>
    <row r="4">
      <c r="A4" s="2" t="inlineStr">
        <is>
          <t>As of Date</t>
        </is>
      </c>
      <c r="B4" s="21" t="n">
        <v>46272</v>
      </c>
    </row>
    <row r="5">
      <c r="A5" s="2" t="inlineStr">
        <is>
          <t>Lookahead Days</t>
        </is>
      </c>
      <c r="B5" s="5" t="n">
        <v>30</v>
      </c>
    </row>
    <row r="6"/>
    <row r="7"/>
    <row r="8">
      <c r="A8" s="6" t="inlineStr">
        <is>
          <t>Active Events</t>
        </is>
      </c>
      <c r="B8" s="7">
        <f>COUNTIFS('Calendar Events'!$B$6:$B$205,$B$3,'Calendar Events'!$F$6:$F$205,"&lt;&gt;",'Calendar Events'!$K$6:$K$205,"&lt;&gt;Cancelled")</f>
        <v/>
      </c>
    </row>
    <row r="9">
      <c r="A9" s="6" t="inlineStr">
        <is>
          <t>Upcoming Events</t>
        </is>
      </c>
      <c r="B9" s="7">
        <f>COUNTIFS('Calendar Events'!$B$6:$B$205,$B$3,'Calendar Events'!$D$6:$D$205,"&gt;="&amp;$B$4,'Calendar Events'!$D$6:$D$205,"&lt;="&amp;$B$4+$B$5,'Calendar Events'!$K$6:$K$205,"&lt;&gt;Cancelled")</f>
        <v/>
      </c>
    </row>
    <row r="10">
      <c r="A10" s="6" t="inlineStr">
        <is>
          <t>Completed Events</t>
        </is>
      </c>
      <c r="B10" s="7">
        <f>COUNTIFS('Calendar Events'!$B$6:$B$205,$B$3,'Calendar Events'!$K$6:$K$205,"Completed")</f>
        <v/>
      </c>
    </row>
    <row r="11">
      <c r="A11" s="6" t="inlineStr">
        <is>
          <t>Events Requiring Review</t>
        </is>
      </c>
      <c r="B11" s="7">
        <f>COUNTIFS('Calendar Events'!$B$6:$B$205,$B$3,'Calendar Events'!$P$6:$P$205,"&lt;&gt;")</f>
        <v/>
      </c>
    </row>
    <row r="12">
      <c r="A12" s="6" t="inlineStr">
        <is>
          <t>Owner Conflicts</t>
        </is>
      </c>
      <c r="B12" s="7">
        <f>COUNTIFS('Calendar Events'!$B$6:$B$205,$B$3,'Calendar Events'!$O$6:$O$205,"Yes")</f>
        <v/>
      </c>
    </row>
    <row r="13">
      <c r="A13" s="6" t="inlineStr">
        <is>
          <t>Next Event Date</t>
        </is>
      </c>
      <c r="B13" s="22">
        <f>IFERROR(AGGREGATE(15,6,'Calendar Events'!$D$6:$D$205/(('Calendar Events'!$B$6:$B$205=$B$3)*('Calendar Events'!$D$6:$D$205&gt;=$B$4)*('Calendar Events'!$K$6:$K$205&lt;&gt;"Cancelled")),1),"")</f>
        <v/>
      </c>
    </row>
    <row r="14">
      <c r="A14" s="6" t="inlineStr">
        <is>
          <t>Next Event</t>
        </is>
      </c>
      <c r="B14" s="7">
        <f>IF($B$13="","",IFERROR(INDEX('Calendar Events'!$F$6:$F$205,MATCH(1,INDEX(('Calendar Events'!$B$6:$B$205=$B$3)*('Calendar Events'!$D$6:$D$205=$B$13)*('Calendar Events'!$K$6:$K$205&lt;&gt;"Cancelled"),0),0)),""))</f>
        <v/>
      </c>
    </row>
    <row r="15"/>
    <row r="16"/>
    <row r="17"/>
    <row r="18">
      <c r="A18" s="9" t="inlineStr">
        <is>
          <t>Event Category</t>
        </is>
      </c>
      <c r="B18" s="9" t="inlineStr">
        <is>
          <t>Active Events</t>
        </is>
      </c>
      <c r="D18" s="9" t="inlineStr">
        <is>
          <t>Month</t>
        </is>
      </c>
      <c r="E18" s="9" t="inlineStr">
        <is>
          <t>Events Starting</t>
        </is>
      </c>
    </row>
    <row r="19">
      <c r="A19" s="10" t="inlineStr">
        <is>
          <t>Instruction</t>
        </is>
      </c>
      <c r="B19" s="11">
        <f>COUNTIFS('Calendar Events'!$B$6:$B$205,$B$3,'Calendar Events'!$G$6:$G$205,A19,'Calendar Events'!$K$6:$K$205,"&lt;&gt;Cancelled")</f>
        <v/>
      </c>
      <c r="D19" s="23">
        <f>IFERROR(DATE(YEAR(MINIFS('Academic Terms'!$C$6:$C$101,'Academic Terms'!$A$6:$A$101,$B$3)),MONTH(MINIFS('Academic Terms'!$C$6:$C$101,'Academic Terms'!$A$6:$A$101,$B$3)),1),"")</f>
        <v/>
      </c>
      <c r="E19" s="11">
        <f>IF(D19="","",COUNTIFS('Calendar Events'!$B$6:$B$205,$B$3,'Calendar Events'!$D$6:$D$205,"&gt;="&amp;D19,'Calendar Events'!$D$6:$D$205,"&lt;"&amp;EDATE(D19,1),'Calendar Events'!$K$6:$K$205,"&lt;&gt;Cancelled"))</f>
        <v/>
      </c>
    </row>
    <row r="20">
      <c r="A20" s="10" t="inlineStr">
        <is>
          <t>Registration</t>
        </is>
      </c>
      <c r="B20" s="11">
        <f>COUNTIFS('Calendar Events'!$B$6:$B$205,$B$3,'Calendar Events'!$G$6:$G$205,A20,'Calendar Events'!$K$6:$K$205,"&lt;&gt;Cancelled")</f>
        <v/>
      </c>
      <c r="D20" s="23">
        <f>IF(D19="","",EDATE(D19,1))</f>
        <v/>
      </c>
      <c r="E20" s="11">
        <f>IF(D20="","",COUNTIFS('Calendar Events'!$B$6:$B$205,$B$3,'Calendar Events'!$D$6:$D$205,"&gt;="&amp;D20,'Calendar Events'!$D$6:$D$205,"&lt;"&amp;EDATE(D20,1),'Calendar Events'!$K$6:$K$205,"&lt;&gt;Cancelled"))</f>
        <v/>
      </c>
    </row>
    <row r="21">
      <c r="A21" s="10" t="inlineStr">
        <is>
          <t>Assessment</t>
        </is>
      </c>
      <c r="B21" s="11">
        <f>COUNTIFS('Calendar Events'!$B$6:$B$205,$B$3,'Calendar Events'!$G$6:$G$205,A21,'Calendar Events'!$K$6:$K$205,"&lt;&gt;Cancelled")</f>
        <v/>
      </c>
      <c r="D21" s="23">
        <f>IF(D20="","",EDATE(D20,1))</f>
        <v/>
      </c>
      <c r="E21" s="11">
        <f>IF(D21="","",COUNTIFS('Calendar Events'!$B$6:$B$205,$B$3,'Calendar Events'!$D$6:$D$205,"&gt;="&amp;D21,'Calendar Events'!$D$6:$D$205,"&lt;"&amp;EDATE(D21,1),'Calendar Events'!$K$6:$K$205,"&lt;&gt;Cancelled"))</f>
        <v/>
      </c>
    </row>
    <row r="22">
      <c r="A22" s="10" t="inlineStr">
        <is>
          <t>Break/Holiday</t>
        </is>
      </c>
      <c r="B22" s="11">
        <f>COUNTIFS('Calendar Events'!$B$6:$B$205,$B$3,'Calendar Events'!$G$6:$G$205,A22,'Calendar Events'!$K$6:$K$205,"&lt;&gt;Cancelled")</f>
        <v/>
      </c>
      <c r="D22" s="23">
        <f>IF(D21="","",EDATE(D21,1))</f>
        <v/>
      </c>
      <c r="E22" s="11">
        <f>IF(D22="","",COUNTIFS('Calendar Events'!$B$6:$B$205,$B$3,'Calendar Events'!$D$6:$D$205,"&gt;="&amp;D22,'Calendar Events'!$D$6:$D$205,"&lt;"&amp;EDATE(D22,1),'Calendar Events'!$K$6:$K$205,"&lt;&gt;Cancelled"))</f>
        <v/>
      </c>
    </row>
    <row r="23">
      <c r="A23" s="10" t="inlineStr">
        <is>
          <t>Faculty Activity</t>
        </is>
      </c>
      <c r="B23" s="11">
        <f>COUNTIFS('Calendar Events'!$B$6:$B$205,$B$3,'Calendar Events'!$G$6:$G$205,A23,'Calendar Events'!$K$6:$K$205,"&lt;&gt;Cancelled")</f>
        <v/>
      </c>
      <c r="D23" s="23">
        <f>IF(D22="","",EDATE(D22,1))</f>
        <v/>
      </c>
      <c r="E23" s="11">
        <f>IF(D23="","",COUNTIFS('Calendar Events'!$B$6:$B$205,$B$3,'Calendar Events'!$D$6:$D$205,"&gt;="&amp;D23,'Calendar Events'!$D$6:$D$205,"&lt;"&amp;EDATE(D23,1),'Calendar Events'!$K$6:$K$205,"&lt;&gt;Cancelled"))</f>
        <v/>
      </c>
    </row>
    <row r="24">
      <c r="A24" s="10" t="inlineStr">
        <is>
          <t>Student Support</t>
        </is>
      </c>
      <c r="B24" s="11">
        <f>COUNTIFS('Calendar Events'!$B$6:$B$205,$B$3,'Calendar Events'!$G$6:$G$205,A24,'Calendar Events'!$K$6:$K$205,"&lt;&gt;Cancelled")</f>
        <v/>
      </c>
      <c r="D24" s="23">
        <f>IF(D23="","",EDATE(D23,1))</f>
        <v/>
      </c>
      <c r="E24" s="11">
        <f>IF(D24="","",COUNTIFS('Calendar Events'!$B$6:$B$205,$B$3,'Calendar Events'!$D$6:$D$205,"&gt;="&amp;D24,'Calendar Events'!$D$6:$D$205,"&lt;"&amp;EDATE(D24,1),'Calendar Events'!$K$6:$K$205,"&lt;&gt;Cancelled"))</f>
        <v/>
      </c>
    </row>
    <row r="25">
      <c r="A25" s="10" t="inlineStr">
        <is>
          <t>Ceremony</t>
        </is>
      </c>
      <c r="B25" s="11">
        <f>COUNTIFS('Calendar Events'!$B$6:$B$205,$B$3,'Calendar Events'!$G$6:$G$205,A25,'Calendar Events'!$K$6:$K$205,"&lt;&gt;Cancelled")</f>
        <v/>
      </c>
      <c r="D25" s="23">
        <f>IF(D24="","",EDATE(D24,1))</f>
        <v/>
      </c>
      <c r="E25" s="11">
        <f>IF(D25="","",COUNTIFS('Calendar Events'!$B$6:$B$205,$B$3,'Calendar Events'!$D$6:$D$205,"&gt;="&amp;D25,'Calendar Events'!$D$6:$D$205,"&lt;"&amp;EDATE(D25,1),'Calendar Events'!$K$6:$K$205,"&lt;&gt;Cancelled"))</f>
        <v/>
      </c>
    </row>
    <row r="26">
      <c r="A26" s="10" t="inlineStr">
        <is>
          <t>Deadline</t>
        </is>
      </c>
      <c r="B26" s="11">
        <f>COUNTIFS('Calendar Events'!$B$6:$B$205,$B$3,'Calendar Events'!$G$6:$G$205,A26,'Calendar Events'!$K$6:$K$205,"&lt;&gt;Cancelled")</f>
        <v/>
      </c>
      <c r="D26" s="23">
        <f>IF(D25="","",EDATE(D25,1))</f>
        <v/>
      </c>
      <c r="E26" s="11">
        <f>IF(D26="","",COUNTIFS('Calendar Events'!$B$6:$B$205,$B$3,'Calendar Events'!$D$6:$D$205,"&gt;="&amp;D26,'Calendar Events'!$D$6:$D$205,"&lt;"&amp;EDATE(D26,1),'Calendar Events'!$K$6:$K$205,"&lt;&gt;Cancelled"))</f>
        <v/>
      </c>
    </row>
    <row r="27">
      <c r="A27" s="10" t="inlineStr">
        <is>
          <t>Other</t>
        </is>
      </c>
      <c r="B27" s="11">
        <f>COUNTIFS('Calendar Events'!$B$6:$B$205,$B$3,'Calendar Events'!$G$6:$G$205,A27,'Calendar Events'!$K$6:$K$205,"&lt;&gt;Cancelled")</f>
        <v/>
      </c>
      <c r="D27" s="23">
        <f>IF(D26="","",EDATE(D26,1))</f>
        <v/>
      </c>
      <c r="E27" s="11">
        <f>IF(D27="","",COUNTIFS('Calendar Events'!$B$6:$B$205,$B$3,'Calendar Events'!$D$6:$D$205,"&gt;="&amp;D27,'Calendar Events'!$D$6:$D$205,"&lt;"&amp;EDATE(D27,1),'Calendar Events'!$K$6:$K$205,"&lt;&gt;Cancelled"))</f>
        <v/>
      </c>
    </row>
    <row r="28">
      <c r="B28">
        <f>""</f>
        <v/>
      </c>
      <c r="D28" s="23">
        <f>IF(D27="","",EDATE(D27,1))</f>
        <v/>
      </c>
      <c r="E28" s="11">
        <f>IF(D28="","",COUNTIFS('Calendar Events'!$B$6:$B$205,$B$3,'Calendar Events'!$D$6:$D$205,"&gt;="&amp;D28,'Calendar Events'!$D$6:$D$205,"&lt;"&amp;EDATE(D28,1),'Calendar Events'!$K$6:$K$205,"&lt;&gt;Cancelled"))</f>
        <v/>
      </c>
    </row>
    <row r="29">
      <c r="B29">
        <f>""</f>
        <v/>
      </c>
      <c r="D29" s="23">
        <f>IF(D28="","",EDATE(D28,1))</f>
        <v/>
      </c>
      <c r="E29" s="11">
        <f>IF(D29="","",COUNTIFS('Calendar Events'!$B$6:$B$205,$B$3,'Calendar Events'!$D$6:$D$205,"&gt;="&amp;D29,'Calendar Events'!$D$6:$D$205,"&lt;"&amp;EDATE(D29,1),'Calendar Events'!$K$6:$K$205,"&lt;&gt;Cancelled"))</f>
        <v/>
      </c>
    </row>
    <row r="30">
      <c r="B30">
        <f>""</f>
        <v/>
      </c>
      <c r="D30" s="23">
        <f>IF(D29="","",EDATE(D29,1))</f>
        <v/>
      </c>
      <c r="E30" s="11">
        <f>IF(D30="","",COUNTIFS('Calendar Events'!$B$6:$B$205,$B$3,'Calendar Events'!$D$6:$D$205,"&gt;="&amp;D30,'Calendar Events'!$D$6:$D$205,"&lt;"&amp;EDATE(D30,1),'Calendar Events'!$K$6:$K$205,"&lt;&gt;Cancelled"))</f>
        <v/>
      </c>
    </row>
    <row r="31">
      <c r="B31">
        <f>""</f>
        <v/>
      </c>
      <c r="D31">
        <f>""</f>
        <v/>
      </c>
      <c r="E31">
        <f>""</f>
        <v/>
      </c>
    </row>
    <row r="32">
      <c r="B32">
        <f>""</f>
        <v/>
      </c>
      <c r="D32">
        <f>""</f>
        <v/>
      </c>
      <c r="E32">
        <f>""</f>
        <v/>
      </c>
    </row>
    <row r="33">
      <c r="B33">
        <f>""</f>
        <v/>
      </c>
      <c r="D33">
        <f>""</f>
        <v/>
      </c>
      <c r="E33">
        <f>""</f>
        <v/>
      </c>
    </row>
    <row r="34">
      <c r="B34">
        <f>""</f>
        <v/>
      </c>
      <c r="D34">
        <f>""</f>
        <v/>
      </c>
      <c r="E34">
        <f>""</f>
        <v/>
      </c>
    </row>
    <row r="35">
      <c r="B35">
        <f>""</f>
        <v/>
      </c>
      <c r="D35">
        <f>""</f>
        <v/>
      </c>
      <c r="E35">
        <f>""</f>
        <v/>
      </c>
    </row>
    <row r="36">
      <c r="B36">
        <f>""</f>
        <v/>
      </c>
      <c r="D36">
        <f>""</f>
        <v/>
      </c>
      <c r="E36">
        <f>""</f>
        <v/>
      </c>
    </row>
    <row r="37">
      <c r="B37">
        <f>""</f>
        <v/>
      </c>
      <c r="D37">
        <f>""</f>
        <v/>
      </c>
      <c r="E37">
        <f>""</f>
        <v/>
      </c>
    </row>
    <row r="38">
      <c r="B38">
        <f>""</f>
        <v/>
      </c>
      <c r="D38">
        <f>""</f>
        <v/>
      </c>
      <c r="E38">
        <f>""</f>
        <v/>
      </c>
    </row>
    <row r="39">
      <c r="B39">
        <f>""</f>
        <v/>
      </c>
      <c r="D39">
        <f>""</f>
        <v/>
      </c>
      <c r="E39">
        <f>""</f>
        <v/>
      </c>
    </row>
    <row r="40">
      <c r="B40">
        <f>""</f>
        <v/>
      </c>
      <c r="D40">
        <f>""</f>
        <v/>
      </c>
      <c r="E40">
        <f>""</f>
        <v/>
      </c>
    </row>
    <row r="41">
      <c r="B41">
        <f>""</f>
        <v/>
      </c>
      <c r="D41">
        <f>""</f>
        <v/>
      </c>
      <c r="E41">
        <f>""</f>
        <v/>
      </c>
    </row>
    <row r="42">
      <c r="B42">
        <f>""</f>
        <v/>
      </c>
      <c r="D42">
        <f>""</f>
        <v/>
      </c>
      <c r="E42">
        <f>""</f>
        <v/>
      </c>
    </row>
    <row r="43">
      <c r="B43">
        <f>""</f>
        <v/>
      </c>
      <c r="D43">
        <f>""</f>
        <v/>
      </c>
      <c r="E43">
        <f>""</f>
        <v/>
      </c>
    </row>
    <row r="44">
      <c r="B44">
        <f>""</f>
        <v/>
      </c>
      <c r="D44">
        <f>""</f>
        <v/>
      </c>
      <c r="E44">
        <f>""</f>
        <v/>
      </c>
    </row>
    <row r="45">
      <c r="B45">
        <f>""</f>
        <v/>
      </c>
      <c r="D45">
        <f>""</f>
        <v/>
      </c>
      <c r="E45">
        <f>""</f>
        <v/>
      </c>
    </row>
    <row r="46">
      <c r="B46">
        <f>""</f>
        <v/>
      </c>
      <c r="D46">
        <f>""</f>
        <v/>
      </c>
      <c r="E46">
        <f>""</f>
        <v/>
      </c>
    </row>
    <row r="47">
      <c r="B47">
        <f>""</f>
        <v/>
      </c>
      <c r="D47">
        <f>""</f>
        <v/>
      </c>
      <c r="E47">
        <f>""</f>
        <v/>
      </c>
    </row>
    <row r="48">
      <c r="B48">
        <f>""</f>
        <v/>
      </c>
      <c r="D48">
        <f>""</f>
        <v/>
      </c>
      <c r="E48">
        <f>""</f>
        <v/>
      </c>
    </row>
    <row r="49">
      <c r="B49">
        <f>""</f>
        <v/>
      </c>
      <c r="D49">
        <f>""</f>
        <v/>
      </c>
      <c r="E49">
        <f>""</f>
        <v/>
      </c>
    </row>
    <row r="50">
      <c r="B50">
        <f>""</f>
        <v/>
      </c>
      <c r="D50">
        <f>""</f>
        <v/>
      </c>
      <c r="E50">
        <f>""</f>
        <v/>
      </c>
    </row>
    <row r="51">
      <c r="B51">
        <f>""</f>
        <v/>
      </c>
      <c r="D51">
        <f>""</f>
        <v/>
      </c>
      <c r="E51">
        <f>""</f>
        <v/>
      </c>
    </row>
    <row r="52">
      <c r="B52">
        <f>""</f>
        <v/>
      </c>
      <c r="D52">
        <f>""</f>
        <v/>
      </c>
      <c r="E52">
        <f>""</f>
        <v/>
      </c>
    </row>
    <row r="53">
      <c r="B53">
        <f>""</f>
        <v/>
      </c>
      <c r="D53">
        <f>""</f>
        <v/>
      </c>
      <c r="E53">
        <f>""</f>
        <v/>
      </c>
    </row>
    <row r="54">
      <c r="B54">
        <f>""</f>
        <v/>
      </c>
      <c r="D54">
        <f>""</f>
        <v/>
      </c>
      <c r="E54">
        <f>""</f>
        <v/>
      </c>
    </row>
    <row r="55">
      <c r="B55">
        <f>""</f>
        <v/>
      </c>
      <c r="D55">
        <f>""</f>
        <v/>
      </c>
      <c r="E55">
        <f>""</f>
        <v/>
      </c>
    </row>
    <row r="56">
      <c r="B56">
        <f>""</f>
        <v/>
      </c>
      <c r="D56">
        <f>""</f>
        <v/>
      </c>
      <c r="E56">
        <f>""</f>
        <v/>
      </c>
    </row>
    <row r="57">
      <c r="B57">
        <f>""</f>
        <v/>
      </c>
      <c r="D57">
        <f>""</f>
        <v/>
      </c>
      <c r="E57">
        <f>""</f>
        <v/>
      </c>
    </row>
    <row r="58">
      <c r="B58">
        <f>""</f>
        <v/>
      </c>
      <c r="D58">
        <f>""</f>
        <v/>
      </c>
      <c r="E58">
        <f>""</f>
        <v/>
      </c>
    </row>
    <row r="59">
      <c r="B59">
        <f>""</f>
        <v/>
      </c>
      <c r="D59">
        <f>""</f>
        <v/>
      </c>
      <c r="E59">
        <f>""</f>
        <v/>
      </c>
    </row>
    <row r="60">
      <c r="B60">
        <f>""</f>
        <v/>
      </c>
      <c r="D60">
        <f>""</f>
        <v/>
      </c>
      <c r="E60">
        <f>""</f>
        <v/>
      </c>
    </row>
    <row r="61">
      <c r="B61">
        <f>""</f>
        <v/>
      </c>
      <c r="D61">
        <f>""</f>
        <v/>
      </c>
      <c r="E61">
        <f>""</f>
        <v/>
      </c>
    </row>
    <row r="62">
      <c r="B62">
        <f>""</f>
        <v/>
      </c>
      <c r="D62">
        <f>""</f>
        <v/>
      </c>
      <c r="E62">
        <f>""</f>
        <v/>
      </c>
    </row>
    <row r="63">
      <c r="B63">
        <f>""</f>
        <v/>
      </c>
      <c r="D63">
        <f>""</f>
        <v/>
      </c>
      <c r="E63">
        <f>""</f>
        <v/>
      </c>
    </row>
    <row r="64">
      <c r="B64">
        <f>""</f>
        <v/>
      </c>
      <c r="D64">
        <f>""</f>
        <v/>
      </c>
      <c r="E64">
        <f>""</f>
        <v/>
      </c>
    </row>
    <row r="65">
      <c r="B65">
        <f>""</f>
        <v/>
      </c>
      <c r="D65">
        <f>""</f>
        <v/>
      </c>
      <c r="E65">
        <f>""</f>
        <v/>
      </c>
    </row>
    <row r="66">
      <c r="B66">
        <f>""</f>
        <v/>
      </c>
      <c r="D66">
        <f>""</f>
        <v/>
      </c>
      <c r="E66">
        <f>""</f>
        <v/>
      </c>
    </row>
    <row r="67">
      <c r="B67">
        <f>""</f>
        <v/>
      </c>
      <c r="D67">
        <f>""</f>
        <v/>
      </c>
      <c r="E67">
        <f>""</f>
        <v/>
      </c>
    </row>
    <row r="68">
      <c r="B68">
        <f>""</f>
        <v/>
      </c>
      <c r="D68">
        <f>""</f>
        <v/>
      </c>
      <c r="E68">
        <f>""</f>
        <v/>
      </c>
    </row>
    <row r="69">
      <c r="B69">
        <f>""</f>
        <v/>
      </c>
      <c r="D69">
        <f>""</f>
        <v/>
      </c>
      <c r="E69">
        <f>""</f>
        <v/>
      </c>
    </row>
    <row r="70">
      <c r="B70">
        <f>""</f>
        <v/>
      </c>
      <c r="D70">
        <f>""</f>
        <v/>
      </c>
      <c r="E70">
        <f>""</f>
        <v/>
      </c>
    </row>
    <row r="71">
      <c r="B71">
        <f>""</f>
        <v/>
      </c>
      <c r="D71">
        <f>""</f>
        <v/>
      </c>
      <c r="E71">
        <f>""</f>
        <v/>
      </c>
    </row>
    <row r="72">
      <c r="B72">
        <f>""</f>
        <v/>
      </c>
      <c r="D72">
        <f>""</f>
        <v/>
      </c>
      <c r="E72">
        <f>""</f>
        <v/>
      </c>
    </row>
    <row r="73">
      <c r="B73">
        <f>""</f>
        <v/>
      </c>
      <c r="D73">
        <f>""</f>
        <v/>
      </c>
      <c r="E73">
        <f>""</f>
        <v/>
      </c>
    </row>
    <row r="74">
      <c r="B74">
        <f>""</f>
        <v/>
      </c>
      <c r="D74">
        <f>""</f>
        <v/>
      </c>
      <c r="E74">
        <f>""</f>
        <v/>
      </c>
    </row>
    <row r="75">
      <c r="B75">
        <f>""</f>
        <v/>
      </c>
      <c r="D75">
        <f>""</f>
        <v/>
      </c>
      <c r="E75">
        <f>""</f>
        <v/>
      </c>
    </row>
    <row r="76">
      <c r="B76">
        <f>""</f>
        <v/>
      </c>
      <c r="D76">
        <f>""</f>
        <v/>
      </c>
      <c r="E76">
        <f>""</f>
        <v/>
      </c>
    </row>
    <row r="77">
      <c r="B77">
        <f>""</f>
        <v/>
      </c>
      <c r="D77">
        <f>""</f>
        <v/>
      </c>
      <c r="E77">
        <f>""</f>
        <v/>
      </c>
    </row>
    <row r="78">
      <c r="B78">
        <f>""</f>
        <v/>
      </c>
      <c r="D78">
        <f>""</f>
        <v/>
      </c>
      <c r="E78">
        <f>""</f>
        <v/>
      </c>
    </row>
    <row r="79">
      <c r="B79">
        <f>""</f>
        <v/>
      </c>
      <c r="D79">
        <f>""</f>
        <v/>
      </c>
      <c r="E79">
        <f>""</f>
        <v/>
      </c>
    </row>
    <row r="80">
      <c r="B80">
        <f>""</f>
        <v/>
      </c>
      <c r="D80">
        <f>""</f>
        <v/>
      </c>
      <c r="E80">
        <f>""</f>
        <v/>
      </c>
    </row>
    <row r="81">
      <c r="B81">
        <f>""</f>
        <v/>
      </c>
      <c r="D81">
        <f>""</f>
        <v/>
      </c>
      <c r="E81">
        <f>""</f>
        <v/>
      </c>
    </row>
    <row r="82">
      <c r="B82">
        <f>""</f>
        <v/>
      </c>
      <c r="D82">
        <f>""</f>
        <v/>
      </c>
      <c r="E82">
        <f>""</f>
        <v/>
      </c>
    </row>
    <row r="83">
      <c r="B83">
        <f>""</f>
        <v/>
      </c>
      <c r="D83">
        <f>""</f>
        <v/>
      </c>
      <c r="E83">
        <f>""</f>
        <v/>
      </c>
    </row>
    <row r="84">
      <c r="B84">
        <f>""</f>
        <v/>
      </c>
      <c r="D84">
        <f>""</f>
        <v/>
      </c>
      <c r="E84">
        <f>""</f>
        <v/>
      </c>
    </row>
    <row r="85">
      <c r="B85">
        <f>""</f>
        <v/>
      </c>
      <c r="D85">
        <f>""</f>
        <v/>
      </c>
      <c r="E85">
        <f>""</f>
        <v/>
      </c>
    </row>
    <row r="86">
      <c r="B86">
        <f>""</f>
        <v/>
      </c>
      <c r="D86">
        <f>""</f>
        <v/>
      </c>
      <c r="E86">
        <f>""</f>
        <v/>
      </c>
    </row>
    <row r="87">
      <c r="B87">
        <f>""</f>
        <v/>
      </c>
      <c r="D87">
        <f>""</f>
        <v/>
      </c>
      <c r="E87">
        <f>""</f>
        <v/>
      </c>
    </row>
    <row r="88">
      <c r="B88">
        <f>""</f>
        <v/>
      </c>
      <c r="D88">
        <f>""</f>
        <v/>
      </c>
      <c r="E88">
        <f>""</f>
        <v/>
      </c>
    </row>
    <row r="89">
      <c r="B89">
        <f>""</f>
        <v/>
      </c>
      <c r="D89">
        <f>""</f>
        <v/>
      </c>
      <c r="E89">
        <f>""</f>
        <v/>
      </c>
    </row>
    <row r="90">
      <c r="B90">
        <f>""</f>
        <v/>
      </c>
      <c r="D90">
        <f>""</f>
        <v/>
      </c>
      <c r="E90">
        <f>""</f>
        <v/>
      </c>
    </row>
    <row r="91">
      <c r="B91">
        <f>""</f>
        <v/>
      </c>
      <c r="D91">
        <f>""</f>
        <v/>
      </c>
      <c r="E91">
        <f>""</f>
        <v/>
      </c>
    </row>
    <row r="92">
      <c r="B92">
        <f>""</f>
        <v/>
      </c>
      <c r="D92">
        <f>""</f>
        <v/>
      </c>
      <c r="E92">
        <f>""</f>
        <v/>
      </c>
    </row>
    <row r="93">
      <c r="B93">
        <f>""</f>
        <v/>
      </c>
      <c r="D93">
        <f>""</f>
        <v/>
      </c>
      <c r="E93">
        <f>""</f>
        <v/>
      </c>
    </row>
    <row r="94">
      <c r="B94">
        <f>""</f>
        <v/>
      </c>
      <c r="D94">
        <f>""</f>
        <v/>
      </c>
      <c r="E94">
        <f>""</f>
        <v/>
      </c>
    </row>
    <row r="95">
      <c r="B95">
        <f>""</f>
        <v/>
      </c>
      <c r="D95">
        <f>""</f>
        <v/>
      </c>
      <c r="E95">
        <f>""</f>
        <v/>
      </c>
    </row>
    <row r="96">
      <c r="B96">
        <f>""</f>
        <v/>
      </c>
      <c r="D96">
        <f>""</f>
        <v/>
      </c>
      <c r="E96">
        <f>""</f>
        <v/>
      </c>
    </row>
    <row r="97">
      <c r="B97">
        <f>""</f>
        <v/>
      </c>
      <c r="D97">
        <f>""</f>
        <v/>
      </c>
      <c r="E97">
        <f>""</f>
        <v/>
      </c>
    </row>
    <row r="98">
      <c r="B98">
        <f>""</f>
        <v/>
      </c>
      <c r="D98">
        <f>""</f>
        <v/>
      </c>
      <c r="E98">
        <f>""</f>
        <v/>
      </c>
    </row>
    <row r="99">
      <c r="B99">
        <f>""</f>
        <v/>
      </c>
      <c r="D99">
        <f>""</f>
        <v/>
      </c>
      <c r="E99">
        <f>""</f>
        <v/>
      </c>
    </row>
    <row r="100">
      <c r="B100">
        <f>""</f>
        <v/>
      </c>
      <c r="D100">
        <f>""</f>
        <v/>
      </c>
      <c r="E100">
        <f>""</f>
        <v/>
      </c>
    </row>
    <row r="101">
      <c r="B101">
        <f>""</f>
        <v/>
      </c>
      <c r="D101">
        <f>""</f>
        <v/>
      </c>
      <c r="E101">
        <f>""</f>
        <v/>
      </c>
    </row>
  </sheetData>
  <mergeCells count="1">
    <mergeCell ref="A1:H1"/>
  </mergeCells>
  <conditionalFormatting sqref="B11:B12">
    <cfRule type="cellIs" priority="1" operator="greaterThan" dxfId="0">
      <formula>0</formula>
    </cfRule>
  </conditionalFormatting>
  <conditionalFormatting sqref="B9">
    <cfRule type="cellIs" priority="2" operator="greaterThan" dxfId="1">
      <formula>0</formula>
    </cfRule>
  </conditionalFormatting>
  <conditionalFormatting sqref="B10">
    <cfRule type="cellIs" priority="3" operator="greaterThan" dxfId="2">
      <formula>0</formula>
    </cfRule>
  </conditionalFormatting>
  <dataValidations count="3">
    <dataValidation sqref="B3" showDropDown="0" showInputMessage="0" showErrorMessage="0" allowBlank="0" type="list">
      <formula1>'Academic Terms'!$A$6:$A$101</formula1>
    </dataValidation>
    <dataValidation sqref="B4" showDropDown="0" showInputMessage="0" showErrorMessage="0" allowBlank="0" type="date" operator="between">
      <formula1>DATE(2020,1,1)</formula1>
      <formula2>DATE(2035,12,31)</formula2>
    </dataValidation>
    <dataValidation sqref="B5" showDropDown="0" showInputMessage="0" showErrorMessage="0" allowBlank="0" type="whole" operator="between">
      <formula1>1</formula1>
      <formula2>365</formula2>
    </dataValidation>
  </dataValidations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1"/>
  <sheetViews>
    <sheetView showGridLines="0" workbookViewId="0">
      <pane xSplit="1" ySplit="4" topLeftCell="B5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8"/>
  <cols>
    <col width="18" customWidth="1" min="1" max="1"/>
    <col width="17" customWidth="1" min="2" max="2"/>
    <col width="17" customWidth="1" min="3" max="3"/>
    <col width="17" customWidth="1" min="4" max="4"/>
    <col width="17" customWidth="1" min="5" max="5"/>
    <col width="17" customWidth="1" min="6" max="6"/>
    <col width="17" customWidth="1" min="7" max="7"/>
    <col width="17" customWidth="1" min="8" max="8"/>
  </cols>
  <sheetData>
    <row r="1" ht="26" customHeight="1">
      <c r="A1" s="1" t="inlineStr">
        <is>
          <t>Monthly Academic Calendar</t>
        </is>
      </c>
    </row>
    <row r="2">
      <c r="A2" s="2" t="inlineStr">
        <is>
          <t>Selected Month</t>
        </is>
      </c>
      <c r="B2" s="24" t="n">
        <v>46266</v>
      </c>
    </row>
    <row r="4">
      <c r="B4" s="9" t="inlineStr">
        <is>
          <t>Sunday</t>
        </is>
      </c>
      <c r="C4" s="9" t="inlineStr">
        <is>
          <t>Monday</t>
        </is>
      </c>
      <c r="D4" s="9" t="inlineStr">
        <is>
          <t>Tuesday</t>
        </is>
      </c>
      <c r="E4" s="9" t="inlineStr">
        <is>
          <t>Wednesday</t>
        </is>
      </c>
      <c r="F4" s="9" t="inlineStr">
        <is>
          <t>Thursday</t>
        </is>
      </c>
      <c r="G4" s="9" t="inlineStr">
        <is>
          <t>Friday</t>
        </is>
      </c>
      <c r="H4" s="9" t="inlineStr">
        <is>
          <t>Saturday</t>
        </is>
      </c>
    </row>
    <row r="5">
      <c r="B5" s="25">
        <f>DATE(YEAR($B$2),MONTH($B$2),1)-WEEKDAY(DATE(YEAR($B$2),MONTH($B$2),1),1)+1+0</f>
        <v/>
      </c>
      <c r="C5" s="25">
        <f>DATE(YEAR($B$2),MONTH($B$2),1)-WEEKDAY(DATE(YEAR($B$2),MONTH($B$2),1),1)+1+1</f>
        <v/>
      </c>
      <c r="D5" s="25">
        <f>DATE(YEAR($B$2),MONTH($B$2),1)-WEEKDAY(DATE(YEAR($B$2),MONTH($B$2),1),1)+1+2</f>
        <v/>
      </c>
      <c r="E5" s="25">
        <f>DATE(YEAR($B$2),MONTH($B$2),1)-WEEKDAY(DATE(YEAR($B$2),MONTH($B$2),1),1)+1+3</f>
        <v/>
      </c>
      <c r="F5" s="25">
        <f>DATE(YEAR($B$2),MONTH($B$2),1)-WEEKDAY(DATE(YEAR($B$2),MONTH($B$2),1),1)+1+4</f>
        <v/>
      </c>
      <c r="G5" s="25">
        <f>DATE(YEAR($B$2),MONTH($B$2),1)-WEEKDAY(DATE(YEAR($B$2),MONTH($B$2),1),1)+1+5</f>
        <v/>
      </c>
      <c r="H5" s="25">
        <f>DATE(YEAR($B$2),MONTH($B$2),1)-WEEKDAY(DATE(YEAR($B$2),MONTH($B$2),1),1)+1+6</f>
        <v/>
      </c>
    </row>
    <row r="6">
      <c r="B6" s="25">
        <f>DATE(YEAR($B$2),MONTH($B$2),1)-WEEKDAY(DATE(YEAR($B$2),MONTH($B$2),1),1)+1+7</f>
        <v/>
      </c>
      <c r="C6" s="25">
        <f>DATE(YEAR($B$2),MONTH($B$2),1)-WEEKDAY(DATE(YEAR($B$2),MONTH($B$2),1),1)+1+8</f>
        <v/>
      </c>
      <c r="D6" s="25">
        <f>DATE(YEAR($B$2),MONTH($B$2),1)-WEEKDAY(DATE(YEAR($B$2),MONTH($B$2),1),1)+1+9</f>
        <v/>
      </c>
      <c r="E6" s="25">
        <f>DATE(YEAR($B$2),MONTH($B$2),1)-WEEKDAY(DATE(YEAR($B$2),MONTH($B$2),1),1)+1+10</f>
        <v/>
      </c>
      <c r="F6" s="25">
        <f>DATE(YEAR($B$2),MONTH($B$2),1)-WEEKDAY(DATE(YEAR($B$2),MONTH($B$2),1),1)+1+11</f>
        <v/>
      </c>
      <c r="G6" s="25">
        <f>DATE(YEAR($B$2),MONTH($B$2),1)-WEEKDAY(DATE(YEAR($B$2),MONTH($B$2),1),1)+1+12</f>
        <v/>
      </c>
      <c r="H6" s="25">
        <f>DATE(YEAR($B$2),MONTH($B$2),1)-WEEKDAY(DATE(YEAR($B$2),MONTH($B$2),1),1)+1+13</f>
        <v/>
      </c>
    </row>
    <row r="7">
      <c r="B7" s="25">
        <f>DATE(YEAR($B$2),MONTH($B$2),1)-WEEKDAY(DATE(YEAR($B$2),MONTH($B$2),1),1)+1+14</f>
        <v/>
      </c>
      <c r="C7" s="25">
        <f>DATE(YEAR($B$2),MONTH($B$2),1)-WEEKDAY(DATE(YEAR($B$2),MONTH($B$2),1),1)+1+15</f>
        <v/>
      </c>
      <c r="D7" s="25">
        <f>DATE(YEAR($B$2),MONTH($B$2),1)-WEEKDAY(DATE(YEAR($B$2),MONTH($B$2),1),1)+1+16</f>
        <v/>
      </c>
      <c r="E7" s="25">
        <f>DATE(YEAR($B$2),MONTH($B$2),1)-WEEKDAY(DATE(YEAR($B$2),MONTH($B$2),1),1)+1+17</f>
        <v/>
      </c>
      <c r="F7" s="25">
        <f>DATE(YEAR($B$2),MONTH($B$2),1)-WEEKDAY(DATE(YEAR($B$2),MONTH($B$2),1),1)+1+18</f>
        <v/>
      </c>
      <c r="G7" s="25">
        <f>DATE(YEAR($B$2),MONTH($B$2),1)-WEEKDAY(DATE(YEAR($B$2),MONTH($B$2),1),1)+1+19</f>
        <v/>
      </c>
      <c r="H7" s="25">
        <f>DATE(YEAR($B$2),MONTH($B$2),1)-WEEKDAY(DATE(YEAR($B$2),MONTH($B$2),1),1)+1+20</f>
        <v/>
      </c>
    </row>
    <row r="8">
      <c r="B8" s="25">
        <f>DATE(YEAR($B$2),MONTH($B$2),1)-WEEKDAY(DATE(YEAR($B$2),MONTH($B$2),1),1)+1+21</f>
        <v/>
      </c>
      <c r="C8" s="25">
        <f>DATE(YEAR($B$2),MONTH($B$2),1)-WEEKDAY(DATE(YEAR($B$2),MONTH($B$2),1),1)+1+22</f>
        <v/>
      </c>
      <c r="D8" s="25">
        <f>DATE(YEAR($B$2),MONTH($B$2),1)-WEEKDAY(DATE(YEAR($B$2),MONTH($B$2),1),1)+1+23</f>
        <v/>
      </c>
      <c r="E8" s="25">
        <f>DATE(YEAR($B$2),MONTH($B$2),1)-WEEKDAY(DATE(YEAR($B$2),MONTH($B$2),1),1)+1+24</f>
        <v/>
      </c>
      <c r="F8" s="25">
        <f>DATE(YEAR($B$2),MONTH($B$2),1)-WEEKDAY(DATE(YEAR($B$2),MONTH($B$2),1),1)+1+25</f>
        <v/>
      </c>
      <c r="G8" s="25">
        <f>DATE(YEAR($B$2),MONTH($B$2),1)-WEEKDAY(DATE(YEAR($B$2),MONTH($B$2),1),1)+1+26</f>
        <v/>
      </c>
      <c r="H8" s="25">
        <f>DATE(YEAR($B$2),MONTH($B$2),1)-WEEKDAY(DATE(YEAR($B$2),MONTH($B$2),1),1)+1+27</f>
        <v/>
      </c>
    </row>
    <row r="9">
      <c r="B9" s="25">
        <f>DATE(YEAR($B$2),MONTH($B$2),1)-WEEKDAY(DATE(YEAR($B$2),MONTH($B$2),1),1)+1+28</f>
        <v/>
      </c>
      <c r="C9" s="25">
        <f>DATE(YEAR($B$2),MONTH($B$2),1)-WEEKDAY(DATE(YEAR($B$2),MONTH($B$2),1),1)+1+29</f>
        <v/>
      </c>
      <c r="D9" s="25">
        <f>DATE(YEAR($B$2),MONTH($B$2),1)-WEEKDAY(DATE(YEAR($B$2),MONTH($B$2),1),1)+1+30</f>
        <v/>
      </c>
      <c r="E9" s="25">
        <f>DATE(YEAR($B$2),MONTH($B$2),1)-WEEKDAY(DATE(YEAR($B$2),MONTH($B$2),1),1)+1+31</f>
        <v/>
      </c>
      <c r="F9" s="25">
        <f>DATE(YEAR($B$2),MONTH($B$2),1)-WEEKDAY(DATE(YEAR($B$2),MONTH($B$2),1),1)+1+32</f>
        <v/>
      </c>
      <c r="G9" s="25">
        <f>DATE(YEAR($B$2),MONTH($B$2),1)-WEEKDAY(DATE(YEAR($B$2),MONTH($B$2),1),1)+1+33</f>
        <v/>
      </c>
      <c r="H9" s="25">
        <f>DATE(YEAR($B$2),MONTH($B$2),1)-WEEKDAY(DATE(YEAR($B$2),MONTH($B$2),1),1)+1+34</f>
        <v/>
      </c>
    </row>
    <row r="10">
      <c r="B10" s="25">
        <f>DATE(YEAR($B$2),MONTH($B$2),1)-WEEKDAY(DATE(YEAR($B$2),MONTH($B$2),1),1)+1+35</f>
        <v/>
      </c>
      <c r="C10" s="25">
        <f>DATE(YEAR($B$2),MONTH($B$2),1)-WEEKDAY(DATE(YEAR($B$2),MONTH($B$2),1),1)+1+36</f>
        <v/>
      </c>
      <c r="D10" s="25">
        <f>DATE(YEAR($B$2),MONTH($B$2),1)-WEEKDAY(DATE(YEAR($B$2),MONTH($B$2),1),1)+1+37</f>
        <v/>
      </c>
      <c r="E10" s="25">
        <f>DATE(YEAR($B$2),MONTH($B$2),1)-WEEKDAY(DATE(YEAR($B$2),MONTH($B$2),1),1)+1+38</f>
        <v/>
      </c>
      <c r="F10" s="25">
        <f>DATE(YEAR($B$2),MONTH($B$2),1)-WEEKDAY(DATE(YEAR($B$2),MONTH($B$2),1),1)+1+39</f>
        <v/>
      </c>
      <c r="G10" s="25">
        <f>DATE(YEAR($B$2),MONTH($B$2),1)-WEEKDAY(DATE(YEAR($B$2),MONTH($B$2),1),1)+1+40</f>
        <v/>
      </c>
      <c r="H10" s="25">
        <f>DATE(YEAR($B$2),MONTH($B$2),1)-WEEKDAY(DATE(YEAR($B$2),MONTH($B$2),1),1)+1+41</f>
        <v/>
      </c>
    </row>
    <row r="11">
      <c r="B11" s="25">
        <f>DATE(YEAR($B$2),MONTH($B$2),1)-WEEKDAY(DATE(YEAR($B$2),MONTH($B$2),1),1)+1+42</f>
        <v/>
      </c>
      <c r="C11" s="25">
        <f>DATE(YEAR($B$2),MONTH($B$2),1)-WEEKDAY(DATE(YEAR($B$2),MONTH($B$2),1),1)+1+43</f>
        <v/>
      </c>
      <c r="D11" s="25">
        <f>DATE(YEAR($B$2),MONTH($B$2),1)-WEEKDAY(DATE(YEAR($B$2),MONTH($B$2),1),1)+1+44</f>
        <v/>
      </c>
      <c r="E11" s="25">
        <f>DATE(YEAR($B$2),MONTH($B$2),1)-WEEKDAY(DATE(YEAR($B$2),MONTH($B$2),1),1)+1+45</f>
        <v/>
      </c>
      <c r="F11" s="25">
        <f>DATE(YEAR($B$2),MONTH($B$2),1)-WEEKDAY(DATE(YEAR($B$2),MONTH($B$2),1),1)+1+46</f>
        <v/>
      </c>
      <c r="G11" s="25">
        <f>DATE(YEAR($B$2),MONTH($B$2),1)-WEEKDAY(DATE(YEAR($B$2),MONTH($B$2),1),1)+1+47</f>
        <v/>
      </c>
      <c r="H11" s="25">
        <f>DATE(YEAR($B$2),MONTH($B$2),1)-WEEKDAY(DATE(YEAR($B$2),MONTH($B$2),1),1)+1+48</f>
        <v/>
      </c>
    </row>
    <row r="12">
      <c r="B12" s="25">
        <f>DATE(YEAR($B$2),MONTH($B$2),1)-WEEKDAY(DATE(YEAR($B$2),MONTH($B$2),1),1)+1+49</f>
        <v/>
      </c>
      <c r="C12" s="25">
        <f>DATE(YEAR($B$2),MONTH($B$2),1)-WEEKDAY(DATE(YEAR($B$2),MONTH($B$2),1),1)+1+50</f>
        <v/>
      </c>
      <c r="D12" s="25">
        <f>DATE(YEAR($B$2),MONTH($B$2),1)-WEEKDAY(DATE(YEAR($B$2),MONTH($B$2),1),1)+1+51</f>
        <v/>
      </c>
      <c r="E12" s="25">
        <f>DATE(YEAR($B$2),MONTH($B$2),1)-WEEKDAY(DATE(YEAR($B$2),MONTH($B$2),1),1)+1+52</f>
        <v/>
      </c>
      <c r="F12" s="25">
        <f>DATE(YEAR($B$2),MONTH($B$2),1)-WEEKDAY(DATE(YEAR($B$2),MONTH($B$2),1),1)+1+53</f>
        <v/>
      </c>
      <c r="G12" s="25">
        <f>DATE(YEAR($B$2),MONTH($B$2),1)-WEEKDAY(DATE(YEAR($B$2),MONTH($B$2),1),1)+1+54</f>
        <v/>
      </c>
      <c r="H12" s="25">
        <f>DATE(YEAR($B$2),MONTH($B$2),1)-WEEKDAY(DATE(YEAR($B$2),MONTH($B$2),1),1)+1+55</f>
        <v/>
      </c>
    </row>
    <row r="13">
      <c r="B13" s="25">
        <f>DATE(YEAR($B$2),MONTH($B$2),1)-WEEKDAY(DATE(YEAR($B$2),MONTH($B$2),1),1)+1+56</f>
        <v/>
      </c>
      <c r="C13" s="25">
        <f>DATE(YEAR($B$2),MONTH($B$2),1)-WEEKDAY(DATE(YEAR($B$2),MONTH($B$2),1),1)+1+57</f>
        <v/>
      </c>
      <c r="D13" s="25">
        <f>DATE(YEAR($B$2),MONTH($B$2),1)-WEEKDAY(DATE(YEAR($B$2),MONTH($B$2),1),1)+1+58</f>
        <v/>
      </c>
      <c r="E13" s="25">
        <f>DATE(YEAR($B$2),MONTH($B$2),1)-WEEKDAY(DATE(YEAR($B$2),MONTH($B$2),1),1)+1+59</f>
        <v/>
      </c>
      <c r="F13" s="25">
        <f>DATE(YEAR($B$2),MONTH($B$2),1)-WEEKDAY(DATE(YEAR($B$2),MONTH($B$2),1),1)+1+60</f>
        <v/>
      </c>
      <c r="G13" s="25">
        <f>DATE(YEAR($B$2),MONTH($B$2),1)-WEEKDAY(DATE(YEAR($B$2),MONTH($B$2),1),1)+1+61</f>
        <v/>
      </c>
      <c r="H13" s="25">
        <f>DATE(YEAR($B$2),MONTH($B$2),1)-WEEKDAY(DATE(YEAR($B$2),MONTH($B$2),1),1)+1+62</f>
        <v/>
      </c>
    </row>
    <row r="14">
      <c r="B14" s="25">
        <f>DATE(YEAR($B$2),MONTH($B$2),1)-WEEKDAY(DATE(YEAR($B$2),MONTH($B$2),1),1)+1+63</f>
        <v/>
      </c>
      <c r="C14" s="25">
        <f>DATE(YEAR($B$2),MONTH($B$2),1)-WEEKDAY(DATE(YEAR($B$2),MONTH($B$2),1),1)+1+64</f>
        <v/>
      </c>
      <c r="D14" s="25">
        <f>DATE(YEAR($B$2),MONTH($B$2),1)-WEEKDAY(DATE(YEAR($B$2),MONTH($B$2),1),1)+1+65</f>
        <v/>
      </c>
      <c r="E14" s="25">
        <f>DATE(YEAR($B$2),MONTH($B$2),1)-WEEKDAY(DATE(YEAR($B$2),MONTH($B$2),1),1)+1+66</f>
        <v/>
      </c>
      <c r="F14" s="25">
        <f>DATE(YEAR($B$2),MONTH($B$2),1)-WEEKDAY(DATE(YEAR($B$2),MONTH($B$2),1),1)+1+67</f>
        <v/>
      </c>
      <c r="G14" s="25">
        <f>DATE(YEAR($B$2),MONTH($B$2),1)-WEEKDAY(DATE(YEAR($B$2),MONTH($B$2),1),1)+1+68</f>
        <v/>
      </c>
      <c r="H14" s="25">
        <f>DATE(YEAR($B$2),MONTH($B$2),1)-WEEKDAY(DATE(YEAR($B$2),MONTH($B$2),1),1)+1+69</f>
        <v/>
      </c>
    </row>
    <row r="15">
      <c r="B15" s="25">
        <f>DATE(YEAR($B$2),MONTH($B$2),1)-WEEKDAY(DATE(YEAR($B$2),MONTH($B$2),1),1)+1+70</f>
        <v/>
      </c>
      <c r="C15" s="25">
        <f>DATE(YEAR($B$2),MONTH($B$2),1)-WEEKDAY(DATE(YEAR($B$2),MONTH($B$2),1),1)+1+71</f>
        <v/>
      </c>
      <c r="D15" s="25">
        <f>DATE(YEAR($B$2),MONTH($B$2),1)-WEEKDAY(DATE(YEAR($B$2),MONTH($B$2),1),1)+1+72</f>
        <v/>
      </c>
      <c r="E15" s="25">
        <f>DATE(YEAR($B$2),MONTH($B$2),1)-WEEKDAY(DATE(YEAR($B$2),MONTH($B$2),1),1)+1+73</f>
        <v/>
      </c>
      <c r="F15" s="25">
        <f>DATE(YEAR($B$2),MONTH($B$2),1)-WEEKDAY(DATE(YEAR($B$2),MONTH($B$2),1),1)+1+74</f>
        <v/>
      </c>
      <c r="G15" s="25">
        <f>DATE(YEAR($B$2),MONTH($B$2),1)-WEEKDAY(DATE(YEAR($B$2),MONTH($B$2),1),1)+1+75</f>
        <v/>
      </c>
      <c r="H15" s="25">
        <f>DATE(YEAR($B$2),MONTH($B$2),1)-WEEKDAY(DATE(YEAR($B$2),MONTH($B$2),1),1)+1+76</f>
        <v/>
      </c>
    </row>
    <row r="16">
      <c r="B16" s="25">
        <f>DATE(YEAR($B$2),MONTH($B$2),1)-WEEKDAY(DATE(YEAR($B$2),MONTH($B$2),1),1)+1+77</f>
        <v/>
      </c>
      <c r="C16" s="25">
        <f>DATE(YEAR($B$2),MONTH($B$2),1)-WEEKDAY(DATE(YEAR($B$2),MONTH($B$2),1),1)+1+78</f>
        <v/>
      </c>
      <c r="D16" s="25">
        <f>DATE(YEAR($B$2),MONTH($B$2),1)-WEEKDAY(DATE(YEAR($B$2),MONTH($B$2),1),1)+1+79</f>
        <v/>
      </c>
      <c r="E16" s="25">
        <f>DATE(YEAR($B$2),MONTH($B$2),1)-WEEKDAY(DATE(YEAR($B$2),MONTH($B$2),1),1)+1+80</f>
        <v/>
      </c>
      <c r="F16" s="25">
        <f>DATE(YEAR($B$2),MONTH($B$2),1)-WEEKDAY(DATE(YEAR($B$2),MONTH($B$2),1),1)+1+81</f>
        <v/>
      </c>
      <c r="G16" s="25">
        <f>DATE(YEAR($B$2),MONTH($B$2),1)-WEEKDAY(DATE(YEAR($B$2),MONTH($B$2),1),1)+1+82</f>
        <v/>
      </c>
      <c r="H16" s="25">
        <f>DATE(YEAR($B$2),MONTH($B$2),1)-WEEKDAY(DATE(YEAR($B$2),MONTH($B$2),1),1)+1+83</f>
        <v/>
      </c>
    </row>
    <row r="17">
      <c r="B17" s="25">
        <f>DATE(YEAR($B$2),MONTH($B$2),1)-WEEKDAY(DATE(YEAR($B$2),MONTH($B$2),1),1)+1+84</f>
        <v/>
      </c>
      <c r="C17" s="25">
        <f>DATE(YEAR($B$2),MONTH($B$2),1)-WEEKDAY(DATE(YEAR($B$2),MONTH($B$2),1),1)+1+85</f>
        <v/>
      </c>
      <c r="D17" s="25">
        <f>DATE(YEAR($B$2),MONTH($B$2),1)-WEEKDAY(DATE(YEAR($B$2),MONTH($B$2),1),1)+1+86</f>
        <v/>
      </c>
      <c r="E17" s="25">
        <f>DATE(YEAR($B$2),MONTH($B$2),1)-WEEKDAY(DATE(YEAR($B$2),MONTH($B$2),1),1)+1+87</f>
        <v/>
      </c>
      <c r="F17" s="25">
        <f>DATE(YEAR($B$2),MONTH($B$2),1)-WEEKDAY(DATE(YEAR($B$2),MONTH($B$2),1),1)+1+88</f>
        <v/>
      </c>
      <c r="G17" s="25">
        <f>DATE(YEAR($B$2),MONTH($B$2),1)-WEEKDAY(DATE(YEAR($B$2),MONTH($B$2),1),1)+1+89</f>
        <v/>
      </c>
      <c r="H17" s="25">
        <f>DATE(YEAR($B$2),MONTH($B$2),1)-WEEKDAY(DATE(YEAR($B$2),MONTH($B$2),1),1)+1+90</f>
        <v/>
      </c>
    </row>
    <row r="18">
      <c r="B18" s="25">
        <f>DATE(YEAR($B$2),MONTH($B$2),1)-WEEKDAY(DATE(YEAR($B$2),MONTH($B$2),1),1)+1+91</f>
        <v/>
      </c>
      <c r="C18" s="25">
        <f>DATE(YEAR($B$2),MONTH($B$2),1)-WEEKDAY(DATE(YEAR($B$2),MONTH($B$2),1),1)+1+92</f>
        <v/>
      </c>
      <c r="D18" s="25">
        <f>DATE(YEAR($B$2),MONTH($B$2),1)-WEEKDAY(DATE(YEAR($B$2),MONTH($B$2),1),1)+1+93</f>
        <v/>
      </c>
      <c r="E18" s="25">
        <f>DATE(YEAR($B$2),MONTH($B$2),1)-WEEKDAY(DATE(YEAR($B$2),MONTH($B$2),1),1)+1+94</f>
        <v/>
      </c>
      <c r="F18" s="25">
        <f>DATE(YEAR($B$2),MONTH($B$2),1)-WEEKDAY(DATE(YEAR($B$2),MONTH($B$2),1),1)+1+95</f>
        <v/>
      </c>
      <c r="G18" s="25">
        <f>DATE(YEAR($B$2),MONTH($B$2),1)-WEEKDAY(DATE(YEAR($B$2),MONTH($B$2),1),1)+1+96</f>
        <v/>
      </c>
      <c r="H18" s="25">
        <f>DATE(YEAR($B$2),MONTH($B$2),1)-WEEKDAY(DATE(YEAR($B$2),MONTH($B$2),1),1)+1+97</f>
        <v/>
      </c>
    </row>
    <row r="19">
      <c r="B19" s="25">
        <f>DATE(YEAR($B$2),MONTH($B$2),1)-WEEKDAY(DATE(YEAR($B$2),MONTH($B$2),1),1)+1+98</f>
        <v/>
      </c>
      <c r="C19" s="25">
        <f>DATE(YEAR($B$2),MONTH($B$2),1)-WEEKDAY(DATE(YEAR($B$2),MONTH($B$2),1),1)+1+99</f>
        <v/>
      </c>
      <c r="D19" s="25">
        <f>DATE(YEAR($B$2),MONTH($B$2),1)-WEEKDAY(DATE(YEAR($B$2),MONTH($B$2),1),1)+1+100</f>
        <v/>
      </c>
      <c r="E19" s="25">
        <f>DATE(YEAR($B$2),MONTH($B$2),1)-WEEKDAY(DATE(YEAR($B$2),MONTH($B$2),1),1)+1+101</f>
        <v/>
      </c>
      <c r="F19" s="25">
        <f>DATE(YEAR($B$2),MONTH($B$2),1)-WEEKDAY(DATE(YEAR($B$2),MONTH($B$2),1),1)+1+102</f>
        <v/>
      </c>
      <c r="G19" s="25">
        <f>DATE(YEAR($B$2),MONTH($B$2),1)-WEEKDAY(DATE(YEAR($B$2),MONTH($B$2),1),1)+1+103</f>
        <v/>
      </c>
      <c r="H19" s="25">
        <f>DATE(YEAR($B$2),MONTH($B$2),1)-WEEKDAY(DATE(YEAR($B$2),MONTH($B$2),1),1)+1+104</f>
        <v/>
      </c>
    </row>
    <row r="20">
      <c r="B20" s="25">
        <f>DATE(YEAR($B$2),MONTH($B$2),1)-WEEKDAY(DATE(YEAR($B$2),MONTH($B$2),1),1)+1+105</f>
        <v/>
      </c>
      <c r="C20" s="25">
        <f>DATE(YEAR($B$2),MONTH($B$2),1)-WEEKDAY(DATE(YEAR($B$2),MONTH($B$2),1),1)+1+106</f>
        <v/>
      </c>
      <c r="D20" s="25">
        <f>DATE(YEAR($B$2),MONTH($B$2),1)-WEEKDAY(DATE(YEAR($B$2),MONTH($B$2),1),1)+1+107</f>
        <v/>
      </c>
      <c r="E20" s="25">
        <f>DATE(YEAR($B$2),MONTH($B$2),1)-WEEKDAY(DATE(YEAR($B$2),MONTH($B$2),1),1)+1+108</f>
        <v/>
      </c>
      <c r="F20" s="25">
        <f>DATE(YEAR($B$2),MONTH($B$2),1)-WEEKDAY(DATE(YEAR($B$2),MONTH($B$2),1),1)+1+109</f>
        <v/>
      </c>
      <c r="G20" s="25">
        <f>DATE(YEAR($B$2),MONTH($B$2),1)-WEEKDAY(DATE(YEAR($B$2),MONTH($B$2),1),1)+1+110</f>
        <v/>
      </c>
      <c r="H20" s="25">
        <f>DATE(YEAR($B$2),MONTH($B$2),1)-WEEKDAY(DATE(YEAR($B$2),MONTH($B$2),1),1)+1+111</f>
        <v/>
      </c>
    </row>
    <row r="21">
      <c r="B21" s="25">
        <f>DATE(YEAR($B$2),MONTH($B$2),1)-WEEKDAY(DATE(YEAR($B$2),MONTH($B$2),1),1)+1+112</f>
        <v/>
      </c>
      <c r="C21" s="25">
        <f>DATE(YEAR($B$2),MONTH($B$2),1)-WEEKDAY(DATE(YEAR($B$2),MONTH($B$2),1),1)+1+113</f>
        <v/>
      </c>
      <c r="D21" s="25">
        <f>DATE(YEAR($B$2),MONTH($B$2),1)-WEEKDAY(DATE(YEAR($B$2),MONTH($B$2),1),1)+1+114</f>
        <v/>
      </c>
      <c r="E21" s="25">
        <f>DATE(YEAR($B$2),MONTH($B$2),1)-WEEKDAY(DATE(YEAR($B$2),MONTH($B$2),1),1)+1+115</f>
        <v/>
      </c>
      <c r="F21" s="25">
        <f>DATE(YEAR($B$2),MONTH($B$2),1)-WEEKDAY(DATE(YEAR($B$2),MONTH($B$2),1),1)+1+116</f>
        <v/>
      </c>
      <c r="G21" s="25">
        <f>DATE(YEAR($B$2),MONTH($B$2),1)-WEEKDAY(DATE(YEAR($B$2),MONTH($B$2),1),1)+1+117</f>
        <v/>
      </c>
      <c r="H21" s="25">
        <f>DATE(YEAR($B$2),MONTH($B$2),1)-WEEKDAY(DATE(YEAR($B$2),MONTH($B$2),1),1)+1+118</f>
        <v/>
      </c>
    </row>
    <row r="22">
      <c r="B22" s="25">
        <f>DATE(YEAR($B$2),MONTH($B$2),1)-WEEKDAY(DATE(YEAR($B$2),MONTH($B$2),1),1)+1+119</f>
        <v/>
      </c>
      <c r="C22" s="25">
        <f>DATE(YEAR($B$2),MONTH($B$2),1)-WEEKDAY(DATE(YEAR($B$2),MONTH($B$2),1),1)+1+120</f>
        <v/>
      </c>
      <c r="D22" s="25">
        <f>DATE(YEAR($B$2),MONTH($B$2),1)-WEEKDAY(DATE(YEAR($B$2),MONTH($B$2),1),1)+1+121</f>
        <v/>
      </c>
      <c r="E22" s="25">
        <f>DATE(YEAR($B$2),MONTH($B$2),1)-WEEKDAY(DATE(YEAR($B$2),MONTH($B$2),1),1)+1+122</f>
        <v/>
      </c>
      <c r="F22" s="25">
        <f>DATE(YEAR($B$2),MONTH($B$2),1)-WEEKDAY(DATE(YEAR($B$2),MONTH($B$2),1),1)+1+123</f>
        <v/>
      </c>
      <c r="G22" s="25">
        <f>DATE(YEAR($B$2),MONTH($B$2),1)-WEEKDAY(DATE(YEAR($B$2),MONTH($B$2),1),1)+1+124</f>
        <v/>
      </c>
      <c r="H22" s="25">
        <f>DATE(YEAR($B$2),MONTH($B$2),1)-WEEKDAY(DATE(YEAR($B$2),MONTH($B$2),1),1)+1+125</f>
        <v/>
      </c>
    </row>
    <row r="23">
      <c r="B23" s="25">
        <f>DATE(YEAR($B$2),MONTH($B$2),1)-WEEKDAY(DATE(YEAR($B$2),MONTH($B$2),1),1)+1+126</f>
        <v/>
      </c>
      <c r="C23" s="25">
        <f>DATE(YEAR($B$2),MONTH($B$2),1)-WEEKDAY(DATE(YEAR($B$2),MONTH($B$2),1),1)+1+127</f>
        <v/>
      </c>
      <c r="D23" s="25">
        <f>DATE(YEAR($B$2),MONTH($B$2),1)-WEEKDAY(DATE(YEAR($B$2),MONTH($B$2),1),1)+1+128</f>
        <v/>
      </c>
      <c r="E23" s="25">
        <f>DATE(YEAR($B$2),MONTH($B$2),1)-WEEKDAY(DATE(YEAR($B$2),MONTH($B$2),1),1)+1+129</f>
        <v/>
      </c>
      <c r="F23" s="25">
        <f>DATE(YEAR($B$2),MONTH($B$2),1)-WEEKDAY(DATE(YEAR($B$2),MONTH($B$2),1),1)+1+130</f>
        <v/>
      </c>
      <c r="G23" s="25">
        <f>DATE(YEAR($B$2),MONTH($B$2),1)-WEEKDAY(DATE(YEAR($B$2),MONTH($B$2),1),1)+1+131</f>
        <v/>
      </c>
      <c r="H23" s="25">
        <f>DATE(YEAR($B$2),MONTH($B$2),1)-WEEKDAY(DATE(YEAR($B$2),MONTH($B$2),1),1)+1+132</f>
        <v/>
      </c>
    </row>
    <row r="24">
      <c r="B24" s="25">
        <f>DATE(YEAR($B$2),MONTH($B$2),1)-WEEKDAY(DATE(YEAR($B$2),MONTH($B$2),1),1)+1+133</f>
        <v/>
      </c>
      <c r="C24" s="25">
        <f>DATE(YEAR($B$2),MONTH($B$2),1)-WEEKDAY(DATE(YEAR($B$2),MONTH($B$2),1),1)+1+134</f>
        <v/>
      </c>
      <c r="D24" s="25">
        <f>DATE(YEAR($B$2),MONTH($B$2),1)-WEEKDAY(DATE(YEAR($B$2),MONTH($B$2),1),1)+1+135</f>
        <v/>
      </c>
      <c r="E24" s="25">
        <f>DATE(YEAR($B$2),MONTH($B$2),1)-WEEKDAY(DATE(YEAR($B$2),MONTH($B$2),1),1)+1+136</f>
        <v/>
      </c>
      <c r="F24" s="25">
        <f>DATE(YEAR($B$2),MONTH($B$2),1)-WEEKDAY(DATE(YEAR($B$2),MONTH($B$2),1),1)+1+137</f>
        <v/>
      </c>
      <c r="G24" s="25">
        <f>DATE(YEAR($B$2),MONTH($B$2),1)-WEEKDAY(DATE(YEAR($B$2),MONTH($B$2),1),1)+1+138</f>
        <v/>
      </c>
      <c r="H24" s="25">
        <f>DATE(YEAR($B$2),MONTH($B$2),1)-WEEKDAY(DATE(YEAR($B$2),MONTH($B$2),1),1)+1+139</f>
        <v/>
      </c>
    </row>
    <row r="25">
      <c r="B25" s="25">
        <f>DATE(YEAR($B$2),MONTH($B$2),1)-WEEKDAY(DATE(YEAR($B$2),MONTH($B$2),1),1)+1+140</f>
        <v/>
      </c>
      <c r="C25" s="25">
        <f>DATE(YEAR($B$2),MONTH($B$2),1)-WEEKDAY(DATE(YEAR($B$2),MONTH($B$2),1),1)+1+141</f>
        <v/>
      </c>
      <c r="D25" s="25">
        <f>DATE(YEAR($B$2),MONTH($B$2),1)-WEEKDAY(DATE(YEAR($B$2),MONTH($B$2),1),1)+1+142</f>
        <v/>
      </c>
      <c r="E25" s="25">
        <f>DATE(YEAR($B$2),MONTH($B$2),1)-WEEKDAY(DATE(YEAR($B$2),MONTH($B$2),1),1)+1+143</f>
        <v/>
      </c>
      <c r="F25" s="25">
        <f>DATE(YEAR($B$2),MONTH($B$2),1)-WEEKDAY(DATE(YEAR($B$2),MONTH($B$2),1),1)+1+144</f>
        <v/>
      </c>
      <c r="G25" s="25">
        <f>DATE(YEAR($B$2),MONTH($B$2),1)-WEEKDAY(DATE(YEAR($B$2),MONTH($B$2),1),1)+1+145</f>
        <v/>
      </c>
      <c r="H25" s="25">
        <f>DATE(YEAR($B$2),MONTH($B$2),1)-WEEKDAY(DATE(YEAR($B$2),MONTH($B$2),1),1)+1+146</f>
        <v/>
      </c>
    </row>
    <row r="26">
      <c r="B26" s="25">
        <f>DATE(YEAR($B$2),MONTH($B$2),1)-WEEKDAY(DATE(YEAR($B$2),MONTH($B$2),1),1)+1+147</f>
        <v/>
      </c>
      <c r="C26" s="25">
        <f>DATE(YEAR($B$2),MONTH($B$2),1)-WEEKDAY(DATE(YEAR($B$2),MONTH($B$2),1),1)+1+148</f>
        <v/>
      </c>
      <c r="D26" s="25">
        <f>DATE(YEAR($B$2),MONTH($B$2),1)-WEEKDAY(DATE(YEAR($B$2),MONTH($B$2),1),1)+1+149</f>
        <v/>
      </c>
      <c r="E26" s="25">
        <f>DATE(YEAR($B$2),MONTH($B$2),1)-WEEKDAY(DATE(YEAR($B$2),MONTH($B$2),1),1)+1+150</f>
        <v/>
      </c>
      <c r="F26" s="25">
        <f>DATE(YEAR($B$2),MONTH($B$2),1)-WEEKDAY(DATE(YEAR($B$2),MONTH($B$2),1),1)+1+151</f>
        <v/>
      </c>
      <c r="G26" s="25">
        <f>DATE(YEAR($B$2),MONTH($B$2),1)-WEEKDAY(DATE(YEAR($B$2),MONTH($B$2),1),1)+1+152</f>
        <v/>
      </c>
      <c r="H26" s="25">
        <f>DATE(YEAR($B$2),MONTH($B$2),1)-WEEKDAY(DATE(YEAR($B$2),MONTH($B$2),1),1)+1+153</f>
        <v/>
      </c>
    </row>
    <row r="27">
      <c r="B27" s="25">
        <f>DATE(YEAR($B$2),MONTH($B$2),1)-WEEKDAY(DATE(YEAR($B$2),MONTH($B$2),1),1)+1+154</f>
        <v/>
      </c>
      <c r="C27" s="25">
        <f>DATE(YEAR($B$2),MONTH($B$2),1)-WEEKDAY(DATE(YEAR($B$2),MONTH($B$2),1),1)+1+155</f>
        <v/>
      </c>
      <c r="D27" s="25">
        <f>DATE(YEAR($B$2),MONTH($B$2),1)-WEEKDAY(DATE(YEAR($B$2),MONTH($B$2),1),1)+1+156</f>
        <v/>
      </c>
      <c r="E27" s="25">
        <f>DATE(YEAR($B$2),MONTH($B$2),1)-WEEKDAY(DATE(YEAR($B$2),MONTH($B$2),1),1)+1+157</f>
        <v/>
      </c>
      <c r="F27" s="25">
        <f>DATE(YEAR($B$2),MONTH($B$2),1)-WEEKDAY(DATE(YEAR($B$2),MONTH($B$2),1),1)+1+158</f>
        <v/>
      </c>
      <c r="G27" s="25">
        <f>DATE(YEAR($B$2),MONTH($B$2),1)-WEEKDAY(DATE(YEAR($B$2),MONTH($B$2),1),1)+1+159</f>
        <v/>
      </c>
      <c r="H27" s="25">
        <f>DATE(YEAR($B$2),MONTH($B$2),1)-WEEKDAY(DATE(YEAR($B$2),MONTH($B$2),1),1)+1+160</f>
        <v/>
      </c>
    </row>
    <row r="28">
      <c r="B28" s="25">
        <f>DATE(YEAR($B$2),MONTH($B$2),1)-WEEKDAY(DATE(YEAR($B$2),MONTH($B$2),1),1)+1+161</f>
        <v/>
      </c>
      <c r="C28" s="25">
        <f>DATE(YEAR($B$2),MONTH($B$2),1)-WEEKDAY(DATE(YEAR($B$2),MONTH($B$2),1),1)+1+162</f>
        <v/>
      </c>
      <c r="D28" s="25">
        <f>DATE(YEAR($B$2),MONTH($B$2),1)-WEEKDAY(DATE(YEAR($B$2),MONTH($B$2),1),1)+1+163</f>
        <v/>
      </c>
      <c r="E28" s="25">
        <f>DATE(YEAR($B$2),MONTH($B$2),1)-WEEKDAY(DATE(YEAR($B$2),MONTH($B$2),1),1)+1+164</f>
        <v/>
      </c>
      <c r="F28" s="25">
        <f>DATE(YEAR($B$2),MONTH($B$2),1)-WEEKDAY(DATE(YEAR($B$2),MONTH($B$2),1),1)+1+165</f>
        <v/>
      </c>
      <c r="G28" s="25">
        <f>DATE(YEAR($B$2),MONTH($B$2),1)-WEEKDAY(DATE(YEAR($B$2),MONTH($B$2),1),1)+1+166</f>
        <v/>
      </c>
      <c r="H28" s="25">
        <f>DATE(YEAR($B$2),MONTH($B$2),1)-WEEKDAY(DATE(YEAR($B$2),MONTH($B$2),1),1)+1+167</f>
        <v/>
      </c>
    </row>
    <row r="29">
      <c r="B29" s="25">
        <f>DATE(YEAR($B$2),MONTH($B$2),1)-WEEKDAY(DATE(YEAR($B$2),MONTH($B$2),1),1)+1+168</f>
        <v/>
      </c>
      <c r="C29" s="25">
        <f>DATE(YEAR($B$2),MONTH($B$2),1)-WEEKDAY(DATE(YEAR($B$2),MONTH($B$2),1),1)+1+169</f>
        <v/>
      </c>
      <c r="D29" s="25">
        <f>DATE(YEAR($B$2),MONTH($B$2),1)-WEEKDAY(DATE(YEAR($B$2),MONTH($B$2),1),1)+1+170</f>
        <v/>
      </c>
      <c r="E29" s="25">
        <f>DATE(YEAR($B$2),MONTH($B$2),1)-WEEKDAY(DATE(YEAR($B$2),MONTH($B$2),1),1)+1+171</f>
        <v/>
      </c>
      <c r="F29" s="25">
        <f>DATE(YEAR($B$2),MONTH($B$2),1)-WEEKDAY(DATE(YEAR($B$2),MONTH($B$2),1),1)+1+172</f>
        <v/>
      </c>
      <c r="G29" s="25">
        <f>DATE(YEAR($B$2),MONTH($B$2),1)-WEEKDAY(DATE(YEAR($B$2),MONTH($B$2),1),1)+1+173</f>
        <v/>
      </c>
      <c r="H29" s="25">
        <f>DATE(YEAR($B$2),MONTH($B$2),1)-WEEKDAY(DATE(YEAR($B$2),MONTH($B$2),1),1)+1+174</f>
        <v/>
      </c>
    </row>
    <row r="30">
      <c r="B30" s="25">
        <f>DATE(YEAR($B$2),MONTH($B$2),1)-WEEKDAY(DATE(YEAR($B$2),MONTH($B$2),1),1)+1+175</f>
        <v/>
      </c>
      <c r="C30" s="25">
        <f>DATE(YEAR($B$2),MONTH($B$2),1)-WEEKDAY(DATE(YEAR($B$2),MONTH($B$2),1),1)+1+176</f>
        <v/>
      </c>
      <c r="D30" s="25">
        <f>DATE(YEAR($B$2),MONTH($B$2),1)-WEEKDAY(DATE(YEAR($B$2),MONTH($B$2),1),1)+1+177</f>
        <v/>
      </c>
      <c r="E30" s="25">
        <f>DATE(YEAR($B$2),MONTH($B$2),1)-WEEKDAY(DATE(YEAR($B$2),MONTH($B$2),1),1)+1+178</f>
        <v/>
      </c>
      <c r="F30" s="25">
        <f>DATE(YEAR($B$2),MONTH($B$2),1)-WEEKDAY(DATE(YEAR($B$2),MONTH($B$2),1),1)+1+179</f>
        <v/>
      </c>
      <c r="G30" s="25">
        <f>DATE(YEAR($B$2),MONTH($B$2),1)-WEEKDAY(DATE(YEAR($B$2),MONTH($B$2),1),1)+1+180</f>
        <v/>
      </c>
      <c r="H30" s="25">
        <f>DATE(YEAR($B$2),MONTH($B$2),1)-WEEKDAY(DATE(YEAR($B$2),MONTH($B$2),1),1)+1+181</f>
        <v/>
      </c>
    </row>
    <row r="31">
      <c r="B31" s="25">
        <f>DATE(YEAR($B$2),MONTH($B$2),1)-WEEKDAY(DATE(YEAR($B$2),MONTH($B$2),1),1)+1+182</f>
        <v/>
      </c>
      <c r="C31" s="25">
        <f>DATE(YEAR($B$2),MONTH($B$2),1)-WEEKDAY(DATE(YEAR($B$2),MONTH($B$2),1),1)+1+183</f>
        <v/>
      </c>
      <c r="D31" s="25">
        <f>DATE(YEAR($B$2),MONTH($B$2),1)-WEEKDAY(DATE(YEAR($B$2),MONTH($B$2),1),1)+1+184</f>
        <v/>
      </c>
      <c r="E31" s="25">
        <f>DATE(YEAR($B$2),MONTH($B$2),1)-WEEKDAY(DATE(YEAR($B$2),MONTH($B$2),1),1)+1+185</f>
        <v/>
      </c>
      <c r="F31" s="25">
        <f>DATE(YEAR($B$2),MONTH($B$2),1)-WEEKDAY(DATE(YEAR($B$2),MONTH($B$2),1),1)+1+186</f>
        <v/>
      </c>
      <c r="G31" s="25">
        <f>DATE(YEAR($B$2),MONTH($B$2),1)-WEEKDAY(DATE(YEAR($B$2),MONTH($B$2),1),1)+1+187</f>
        <v/>
      </c>
      <c r="H31" s="25">
        <f>DATE(YEAR($B$2),MONTH($B$2),1)-WEEKDAY(DATE(YEAR($B$2),MONTH($B$2),1),1)+1+188</f>
        <v/>
      </c>
    </row>
    <row r="32">
      <c r="B32" s="25">
        <f>DATE(YEAR($B$2),MONTH($B$2),1)-WEEKDAY(DATE(YEAR($B$2),MONTH($B$2),1),1)+1+189</f>
        <v/>
      </c>
      <c r="C32" s="25">
        <f>DATE(YEAR($B$2),MONTH($B$2),1)-WEEKDAY(DATE(YEAR($B$2),MONTH($B$2),1),1)+1+190</f>
        <v/>
      </c>
      <c r="D32" s="25">
        <f>DATE(YEAR($B$2),MONTH($B$2),1)-WEEKDAY(DATE(YEAR($B$2),MONTH($B$2),1),1)+1+191</f>
        <v/>
      </c>
      <c r="E32" s="25">
        <f>DATE(YEAR($B$2),MONTH($B$2),1)-WEEKDAY(DATE(YEAR($B$2),MONTH($B$2),1),1)+1+192</f>
        <v/>
      </c>
      <c r="F32" s="25">
        <f>DATE(YEAR($B$2),MONTH($B$2),1)-WEEKDAY(DATE(YEAR($B$2),MONTH($B$2),1),1)+1+193</f>
        <v/>
      </c>
      <c r="G32" s="25">
        <f>DATE(YEAR($B$2),MONTH($B$2),1)-WEEKDAY(DATE(YEAR($B$2),MONTH($B$2),1),1)+1+194</f>
        <v/>
      </c>
      <c r="H32" s="25">
        <f>DATE(YEAR($B$2),MONTH($B$2),1)-WEEKDAY(DATE(YEAR($B$2),MONTH($B$2),1),1)+1+195</f>
        <v/>
      </c>
    </row>
    <row r="33">
      <c r="B33" s="25">
        <f>DATE(YEAR($B$2),MONTH($B$2),1)-WEEKDAY(DATE(YEAR($B$2),MONTH($B$2),1),1)+1+196</f>
        <v/>
      </c>
      <c r="C33" s="25">
        <f>DATE(YEAR($B$2),MONTH($B$2),1)-WEEKDAY(DATE(YEAR($B$2),MONTH($B$2),1),1)+1+197</f>
        <v/>
      </c>
      <c r="D33" s="25">
        <f>DATE(YEAR($B$2),MONTH($B$2),1)-WEEKDAY(DATE(YEAR($B$2),MONTH($B$2),1),1)+1+198</f>
        <v/>
      </c>
      <c r="E33" s="25">
        <f>DATE(YEAR($B$2),MONTH($B$2),1)-WEEKDAY(DATE(YEAR($B$2),MONTH($B$2),1),1)+1+199</f>
        <v/>
      </c>
      <c r="F33" s="25">
        <f>DATE(YEAR($B$2),MONTH($B$2),1)-WEEKDAY(DATE(YEAR($B$2),MONTH($B$2),1),1)+1+200</f>
        <v/>
      </c>
      <c r="G33" s="25">
        <f>DATE(YEAR($B$2),MONTH($B$2),1)-WEEKDAY(DATE(YEAR($B$2),MONTH($B$2),1),1)+1+201</f>
        <v/>
      </c>
      <c r="H33" s="25">
        <f>DATE(YEAR($B$2),MONTH($B$2),1)-WEEKDAY(DATE(YEAR($B$2),MONTH($B$2),1),1)+1+202</f>
        <v/>
      </c>
    </row>
    <row r="34">
      <c r="B34" s="25">
        <f>DATE(YEAR($B$2),MONTH($B$2),1)-WEEKDAY(DATE(YEAR($B$2),MONTH($B$2),1),1)+1+203</f>
        <v/>
      </c>
      <c r="C34" s="25">
        <f>DATE(YEAR($B$2),MONTH($B$2),1)-WEEKDAY(DATE(YEAR($B$2),MONTH($B$2),1),1)+1+204</f>
        <v/>
      </c>
      <c r="D34" s="25">
        <f>DATE(YEAR($B$2),MONTH($B$2),1)-WEEKDAY(DATE(YEAR($B$2),MONTH($B$2),1),1)+1+205</f>
        <v/>
      </c>
      <c r="E34" s="25">
        <f>DATE(YEAR($B$2),MONTH($B$2),1)-WEEKDAY(DATE(YEAR($B$2),MONTH($B$2),1),1)+1+206</f>
        <v/>
      </c>
      <c r="F34" s="25">
        <f>DATE(YEAR($B$2),MONTH($B$2),1)-WEEKDAY(DATE(YEAR($B$2),MONTH($B$2),1),1)+1+207</f>
        <v/>
      </c>
      <c r="G34" s="25">
        <f>DATE(YEAR($B$2),MONTH($B$2),1)-WEEKDAY(DATE(YEAR($B$2),MONTH($B$2),1),1)+1+208</f>
        <v/>
      </c>
      <c r="H34" s="25">
        <f>DATE(YEAR($B$2),MONTH($B$2),1)-WEEKDAY(DATE(YEAR($B$2),MONTH($B$2),1),1)+1+209</f>
        <v/>
      </c>
    </row>
    <row r="35">
      <c r="B35" s="25">
        <f>DATE(YEAR($B$2),MONTH($B$2),1)-WEEKDAY(DATE(YEAR($B$2),MONTH($B$2),1),1)+1+210</f>
        <v/>
      </c>
      <c r="C35" s="25">
        <f>DATE(YEAR($B$2),MONTH($B$2),1)-WEEKDAY(DATE(YEAR($B$2),MONTH($B$2),1),1)+1+211</f>
        <v/>
      </c>
      <c r="D35" s="25">
        <f>DATE(YEAR($B$2),MONTH($B$2),1)-WEEKDAY(DATE(YEAR($B$2),MONTH($B$2),1),1)+1+212</f>
        <v/>
      </c>
      <c r="E35" s="25">
        <f>DATE(YEAR($B$2),MONTH($B$2),1)-WEEKDAY(DATE(YEAR($B$2),MONTH($B$2),1),1)+1+213</f>
        <v/>
      </c>
      <c r="F35" s="25">
        <f>DATE(YEAR($B$2),MONTH($B$2),1)-WEEKDAY(DATE(YEAR($B$2),MONTH($B$2),1),1)+1+214</f>
        <v/>
      </c>
      <c r="G35" s="25">
        <f>DATE(YEAR($B$2),MONTH($B$2),1)-WEEKDAY(DATE(YEAR($B$2),MONTH($B$2),1),1)+1+215</f>
        <v/>
      </c>
      <c r="H35" s="25">
        <f>DATE(YEAR($B$2),MONTH($B$2),1)-WEEKDAY(DATE(YEAR($B$2),MONTH($B$2),1),1)+1+216</f>
        <v/>
      </c>
    </row>
    <row r="36">
      <c r="B36" s="25">
        <f>DATE(YEAR($B$2),MONTH($B$2),1)-WEEKDAY(DATE(YEAR($B$2),MONTH($B$2),1),1)+1+217</f>
        <v/>
      </c>
      <c r="C36" s="25">
        <f>DATE(YEAR($B$2),MONTH($B$2),1)-WEEKDAY(DATE(YEAR($B$2),MONTH($B$2),1),1)+1+218</f>
        <v/>
      </c>
      <c r="D36" s="25">
        <f>DATE(YEAR($B$2),MONTH($B$2),1)-WEEKDAY(DATE(YEAR($B$2),MONTH($B$2),1),1)+1+219</f>
        <v/>
      </c>
      <c r="E36" s="25">
        <f>DATE(YEAR($B$2),MONTH($B$2),1)-WEEKDAY(DATE(YEAR($B$2),MONTH($B$2),1),1)+1+220</f>
        <v/>
      </c>
      <c r="F36" s="25">
        <f>DATE(YEAR($B$2),MONTH($B$2),1)-WEEKDAY(DATE(YEAR($B$2),MONTH($B$2),1),1)+1+221</f>
        <v/>
      </c>
      <c r="G36" s="25">
        <f>DATE(YEAR($B$2),MONTH($B$2),1)-WEEKDAY(DATE(YEAR($B$2),MONTH($B$2),1),1)+1+222</f>
        <v/>
      </c>
      <c r="H36" s="25">
        <f>DATE(YEAR($B$2),MONTH($B$2),1)-WEEKDAY(DATE(YEAR($B$2),MONTH($B$2),1),1)+1+223</f>
        <v/>
      </c>
    </row>
    <row r="37">
      <c r="B37" s="25">
        <f>DATE(YEAR($B$2),MONTH($B$2),1)-WEEKDAY(DATE(YEAR($B$2),MONTH($B$2),1),1)+1+224</f>
        <v/>
      </c>
      <c r="C37" s="25">
        <f>DATE(YEAR($B$2),MONTH($B$2),1)-WEEKDAY(DATE(YEAR($B$2),MONTH($B$2),1),1)+1+225</f>
        <v/>
      </c>
      <c r="D37" s="25">
        <f>DATE(YEAR($B$2),MONTH($B$2),1)-WEEKDAY(DATE(YEAR($B$2),MONTH($B$2),1),1)+1+226</f>
        <v/>
      </c>
      <c r="E37" s="25">
        <f>DATE(YEAR($B$2),MONTH($B$2),1)-WEEKDAY(DATE(YEAR($B$2),MONTH($B$2),1),1)+1+227</f>
        <v/>
      </c>
      <c r="F37" s="25">
        <f>DATE(YEAR($B$2),MONTH($B$2),1)-WEEKDAY(DATE(YEAR($B$2),MONTH($B$2),1),1)+1+228</f>
        <v/>
      </c>
      <c r="G37" s="25">
        <f>DATE(YEAR($B$2),MONTH($B$2),1)-WEEKDAY(DATE(YEAR($B$2),MONTH($B$2),1),1)+1+229</f>
        <v/>
      </c>
      <c r="H37" s="25">
        <f>DATE(YEAR($B$2),MONTH($B$2),1)-WEEKDAY(DATE(YEAR($B$2),MONTH($B$2),1),1)+1+230</f>
        <v/>
      </c>
    </row>
    <row r="38">
      <c r="B38" s="25">
        <f>DATE(YEAR($B$2),MONTH($B$2),1)-WEEKDAY(DATE(YEAR($B$2),MONTH($B$2),1),1)+1+231</f>
        <v/>
      </c>
      <c r="C38" s="25">
        <f>DATE(YEAR($B$2),MONTH($B$2),1)-WEEKDAY(DATE(YEAR($B$2),MONTH($B$2),1),1)+1+232</f>
        <v/>
      </c>
      <c r="D38" s="25">
        <f>DATE(YEAR($B$2),MONTH($B$2),1)-WEEKDAY(DATE(YEAR($B$2),MONTH($B$2),1),1)+1+233</f>
        <v/>
      </c>
      <c r="E38" s="25">
        <f>DATE(YEAR($B$2),MONTH($B$2),1)-WEEKDAY(DATE(YEAR($B$2),MONTH($B$2),1),1)+1+234</f>
        <v/>
      </c>
      <c r="F38" s="25">
        <f>DATE(YEAR($B$2),MONTH($B$2),1)-WEEKDAY(DATE(YEAR($B$2),MONTH($B$2),1),1)+1+235</f>
        <v/>
      </c>
      <c r="G38" s="25">
        <f>DATE(YEAR($B$2),MONTH($B$2),1)-WEEKDAY(DATE(YEAR($B$2),MONTH($B$2),1),1)+1+236</f>
        <v/>
      </c>
      <c r="H38" s="25">
        <f>DATE(YEAR($B$2),MONTH($B$2),1)-WEEKDAY(DATE(YEAR($B$2),MONTH($B$2),1),1)+1+237</f>
        <v/>
      </c>
    </row>
    <row r="39">
      <c r="B39" s="25">
        <f>DATE(YEAR($B$2),MONTH($B$2),1)-WEEKDAY(DATE(YEAR($B$2),MONTH($B$2),1),1)+1+238</f>
        <v/>
      </c>
      <c r="C39" s="25">
        <f>DATE(YEAR($B$2),MONTH($B$2),1)-WEEKDAY(DATE(YEAR($B$2),MONTH($B$2),1),1)+1+239</f>
        <v/>
      </c>
      <c r="D39" s="25">
        <f>DATE(YEAR($B$2),MONTH($B$2),1)-WEEKDAY(DATE(YEAR($B$2),MONTH($B$2),1),1)+1+240</f>
        <v/>
      </c>
      <c r="E39" s="25">
        <f>DATE(YEAR($B$2),MONTH($B$2),1)-WEEKDAY(DATE(YEAR($B$2),MONTH($B$2),1),1)+1+241</f>
        <v/>
      </c>
      <c r="F39" s="25">
        <f>DATE(YEAR($B$2),MONTH($B$2),1)-WEEKDAY(DATE(YEAR($B$2),MONTH($B$2),1),1)+1+242</f>
        <v/>
      </c>
      <c r="G39" s="25">
        <f>DATE(YEAR($B$2),MONTH($B$2),1)-WEEKDAY(DATE(YEAR($B$2),MONTH($B$2),1),1)+1+243</f>
        <v/>
      </c>
      <c r="H39" s="25">
        <f>DATE(YEAR($B$2),MONTH($B$2),1)-WEEKDAY(DATE(YEAR($B$2),MONTH($B$2),1),1)+1+244</f>
        <v/>
      </c>
    </row>
    <row r="40">
      <c r="B40" s="25">
        <f>DATE(YEAR($B$2),MONTH($B$2),1)-WEEKDAY(DATE(YEAR($B$2),MONTH($B$2),1),1)+1+245</f>
        <v/>
      </c>
      <c r="C40" s="25">
        <f>DATE(YEAR($B$2),MONTH($B$2),1)-WEEKDAY(DATE(YEAR($B$2),MONTH($B$2),1),1)+1+246</f>
        <v/>
      </c>
      <c r="D40" s="25">
        <f>DATE(YEAR($B$2),MONTH($B$2),1)-WEEKDAY(DATE(YEAR($B$2),MONTH($B$2),1),1)+1+247</f>
        <v/>
      </c>
      <c r="E40" s="25">
        <f>DATE(YEAR($B$2),MONTH($B$2),1)-WEEKDAY(DATE(YEAR($B$2),MONTH($B$2),1),1)+1+248</f>
        <v/>
      </c>
      <c r="F40" s="25">
        <f>DATE(YEAR($B$2),MONTH($B$2),1)-WEEKDAY(DATE(YEAR($B$2),MONTH($B$2),1),1)+1+249</f>
        <v/>
      </c>
      <c r="G40" s="25">
        <f>DATE(YEAR($B$2),MONTH($B$2),1)-WEEKDAY(DATE(YEAR($B$2),MONTH($B$2),1),1)+1+250</f>
        <v/>
      </c>
      <c r="H40" s="25">
        <f>DATE(YEAR($B$2),MONTH($B$2),1)-WEEKDAY(DATE(YEAR($B$2),MONTH($B$2),1),1)+1+251</f>
        <v/>
      </c>
    </row>
    <row r="41">
      <c r="B41" s="25">
        <f>DATE(YEAR($B$2),MONTH($B$2),1)-WEEKDAY(DATE(YEAR($B$2),MONTH($B$2),1),1)+1+252</f>
        <v/>
      </c>
      <c r="C41" s="25">
        <f>DATE(YEAR($B$2),MONTH($B$2),1)-WEEKDAY(DATE(YEAR($B$2),MONTH($B$2),1),1)+1+253</f>
        <v/>
      </c>
      <c r="D41" s="25">
        <f>DATE(YEAR($B$2),MONTH($B$2),1)-WEEKDAY(DATE(YEAR($B$2),MONTH($B$2),1),1)+1+254</f>
        <v/>
      </c>
      <c r="E41" s="25">
        <f>DATE(YEAR($B$2),MONTH($B$2),1)-WEEKDAY(DATE(YEAR($B$2),MONTH($B$2),1),1)+1+255</f>
        <v/>
      </c>
      <c r="F41" s="25">
        <f>DATE(YEAR($B$2),MONTH($B$2),1)-WEEKDAY(DATE(YEAR($B$2),MONTH($B$2),1),1)+1+256</f>
        <v/>
      </c>
      <c r="G41" s="25">
        <f>DATE(YEAR($B$2),MONTH($B$2),1)-WEEKDAY(DATE(YEAR($B$2),MONTH($B$2),1),1)+1+257</f>
        <v/>
      </c>
      <c r="H41" s="25">
        <f>DATE(YEAR($B$2),MONTH($B$2),1)-WEEKDAY(DATE(YEAR($B$2),MONTH($B$2),1),1)+1+258</f>
        <v/>
      </c>
    </row>
    <row r="42">
      <c r="B42" s="25">
        <f>DATE(YEAR($B$2),MONTH($B$2),1)-WEEKDAY(DATE(YEAR($B$2),MONTH($B$2),1),1)+1+259</f>
        <v/>
      </c>
      <c r="C42" s="25">
        <f>DATE(YEAR($B$2),MONTH($B$2),1)-WEEKDAY(DATE(YEAR($B$2),MONTH($B$2),1),1)+1+260</f>
        <v/>
      </c>
      <c r="D42" s="25">
        <f>DATE(YEAR($B$2),MONTH($B$2),1)-WEEKDAY(DATE(YEAR($B$2),MONTH($B$2),1),1)+1+261</f>
        <v/>
      </c>
      <c r="E42" s="25">
        <f>DATE(YEAR($B$2),MONTH($B$2),1)-WEEKDAY(DATE(YEAR($B$2),MONTH($B$2),1),1)+1+262</f>
        <v/>
      </c>
      <c r="F42" s="25">
        <f>DATE(YEAR($B$2),MONTH($B$2),1)-WEEKDAY(DATE(YEAR($B$2),MONTH($B$2),1),1)+1+263</f>
        <v/>
      </c>
      <c r="G42" s="25">
        <f>DATE(YEAR($B$2),MONTH($B$2),1)-WEEKDAY(DATE(YEAR($B$2),MONTH($B$2),1),1)+1+264</f>
        <v/>
      </c>
      <c r="H42" s="25">
        <f>DATE(YEAR($B$2),MONTH($B$2),1)-WEEKDAY(DATE(YEAR($B$2),MONTH($B$2),1),1)+1+265</f>
        <v/>
      </c>
    </row>
    <row r="43">
      <c r="B43" s="25">
        <f>DATE(YEAR($B$2),MONTH($B$2),1)-WEEKDAY(DATE(YEAR($B$2),MONTH($B$2),1),1)+1+266</f>
        <v/>
      </c>
      <c r="C43" s="25">
        <f>DATE(YEAR($B$2),MONTH($B$2),1)-WEEKDAY(DATE(YEAR($B$2),MONTH($B$2),1),1)+1+267</f>
        <v/>
      </c>
      <c r="D43" s="25">
        <f>DATE(YEAR($B$2),MONTH($B$2),1)-WEEKDAY(DATE(YEAR($B$2),MONTH($B$2),1),1)+1+268</f>
        <v/>
      </c>
      <c r="E43" s="25">
        <f>DATE(YEAR($B$2),MONTH($B$2),1)-WEEKDAY(DATE(YEAR($B$2),MONTH($B$2),1),1)+1+269</f>
        <v/>
      </c>
      <c r="F43" s="25">
        <f>DATE(YEAR($B$2),MONTH($B$2),1)-WEEKDAY(DATE(YEAR($B$2),MONTH($B$2),1),1)+1+270</f>
        <v/>
      </c>
      <c r="G43" s="25">
        <f>DATE(YEAR($B$2),MONTH($B$2),1)-WEEKDAY(DATE(YEAR($B$2),MONTH($B$2),1),1)+1+271</f>
        <v/>
      </c>
      <c r="H43" s="25">
        <f>DATE(YEAR($B$2),MONTH($B$2),1)-WEEKDAY(DATE(YEAR($B$2),MONTH($B$2),1),1)+1+272</f>
        <v/>
      </c>
    </row>
    <row r="44">
      <c r="B44" s="25">
        <f>DATE(YEAR($B$2),MONTH($B$2),1)-WEEKDAY(DATE(YEAR($B$2),MONTH($B$2),1),1)+1+273</f>
        <v/>
      </c>
      <c r="C44" s="25">
        <f>DATE(YEAR($B$2),MONTH($B$2),1)-WEEKDAY(DATE(YEAR($B$2),MONTH($B$2),1),1)+1+274</f>
        <v/>
      </c>
      <c r="D44" s="25">
        <f>DATE(YEAR($B$2),MONTH($B$2),1)-WEEKDAY(DATE(YEAR($B$2),MONTH($B$2),1),1)+1+275</f>
        <v/>
      </c>
      <c r="E44" s="25">
        <f>DATE(YEAR($B$2),MONTH($B$2),1)-WEEKDAY(DATE(YEAR($B$2),MONTH($B$2),1),1)+1+276</f>
        <v/>
      </c>
      <c r="F44" s="25">
        <f>DATE(YEAR($B$2),MONTH($B$2),1)-WEEKDAY(DATE(YEAR($B$2),MONTH($B$2),1),1)+1+277</f>
        <v/>
      </c>
      <c r="G44" s="25">
        <f>DATE(YEAR($B$2),MONTH($B$2),1)-WEEKDAY(DATE(YEAR($B$2),MONTH($B$2),1),1)+1+278</f>
        <v/>
      </c>
      <c r="H44" s="25">
        <f>DATE(YEAR($B$2),MONTH($B$2),1)-WEEKDAY(DATE(YEAR($B$2),MONTH($B$2),1),1)+1+279</f>
        <v/>
      </c>
    </row>
    <row r="45">
      <c r="B45" s="25">
        <f>DATE(YEAR($B$2),MONTH($B$2),1)-WEEKDAY(DATE(YEAR($B$2),MONTH($B$2),1),1)+1+280</f>
        <v/>
      </c>
      <c r="C45" s="25">
        <f>DATE(YEAR($B$2),MONTH($B$2),1)-WEEKDAY(DATE(YEAR($B$2),MONTH($B$2),1),1)+1+281</f>
        <v/>
      </c>
      <c r="D45" s="25">
        <f>DATE(YEAR($B$2),MONTH($B$2),1)-WEEKDAY(DATE(YEAR($B$2),MONTH($B$2),1),1)+1+282</f>
        <v/>
      </c>
      <c r="E45" s="25">
        <f>DATE(YEAR($B$2),MONTH($B$2),1)-WEEKDAY(DATE(YEAR($B$2),MONTH($B$2),1),1)+1+283</f>
        <v/>
      </c>
      <c r="F45" s="25">
        <f>DATE(YEAR($B$2),MONTH($B$2),1)-WEEKDAY(DATE(YEAR($B$2),MONTH($B$2),1),1)+1+284</f>
        <v/>
      </c>
      <c r="G45" s="25">
        <f>DATE(YEAR($B$2),MONTH($B$2),1)-WEEKDAY(DATE(YEAR($B$2),MONTH($B$2),1),1)+1+285</f>
        <v/>
      </c>
      <c r="H45" s="25">
        <f>DATE(YEAR($B$2),MONTH($B$2),1)-WEEKDAY(DATE(YEAR($B$2),MONTH($B$2),1),1)+1+286</f>
        <v/>
      </c>
    </row>
    <row r="46">
      <c r="B46" s="25">
        <f>DATE(YEAR($B$2),MONTH($B$2),1)-WEEKDAY(DATE(YEAR($B$2),MONTH($B$2),1),1)+1+287</f>
        <v/>
      </c>
      <c r="C46" s="25">
        <f>DATE(YEAR($B$2),MONTH($B$2),1)-WEEKDAY(DATE(YEAR($B$2),MONTH($B$2),1),1)+1+288</f>
        <v/>
      </c>
      <c r="D46" s="25">
        <f>DATE(YEAR($B$2),MONTH($B$2),1)-WEEKDAY(DATE(YEAR($B$2),MONTH($B$2),1),1)+1+289</f>
        <v/>
      </c>
      <c r="E46" s="25">
        <f>DATE(YEAR($B$2),MONTH($B$2),1)-WEEKDAY(DATE(YEAR($B$2),MONTH($B$2),1),1)+1+290</f>
        <v/>
      </c>
      <c r="F46" s="25">
        <f>DATE(YEAR($B$2),MONTH($B$2),1)-WEEKDAY(DATE(YEAR($B$2),MONTH($B$2),1),1)+1+291</f>
        <v/>
      </c>
      <c r="G46" s="25">
        <f>DATE(YEAR($B$2),MONTH($B$2),1)-WEEKDAY(DATE(YEAR($B$2),MONTH($B$2),1),1)+1+292</f>
        <v/>
      </c>
      <c r="H46" s="25">
        <f>DATE(YEAR($B$2),MONTH($B$2),1)-WEEKDAY(DATE(YEAR($B$2),MONTH($B$2),1),1)+1+293</f>
        <v/>
      </c>
    </row>
    <row r="47">
      <c r="B47" s="25">
        <f>DATE(YEAR($B$2),MONTH($B$2),1)-WEEKDAY(DATE(YEAR($B$2),MONTH($B$2),1),1)+1+294</f>
        <v/>
      </c>
      <c r="C47" s="25">
        <f>DATE(YEAR($B$2),MONTH($B$2),1)-WEEKDAY(DATE(YEAR($B$2),MONTH($B$2),1),1)+1+295</f>
        <v/>
      </c>
      <c r="D47" s="25">
        <f>DATE(YEAR($B$2),MONTH($B$2),1)-WEEKDAY(DATE(YEAR($B$2),MONTH($B$2),1),1)+1+296</f>
        <v/>
      </c>
      <c r="E47" s="25">
        <f>DATE(YEAR($B$2),MONTH($B$2),1)-WEEKDAY(DATE(YEAR($B$2),MONTH($B$2),1),1)+1+297</f>
        <v/>
      </c>
      <c r="F47" s="25">
        <f>DATE(YEAR($B$2),MONTH($B$2),1)-WEEKDAY(DATE(YEAR($B$2),MONTH($B$2),1),1)+1+298</f>
        <v/>
      </c>
      <c r="G47" s="25">
        <f>DATE(YEAR($B$2),MONTH($B$2),1)-WEEKDAY(DATE(YEAR($B$2),MONTH($B$2),1),1)+1+299</f>
        <v/>
      </c>
      <c r="H47" s="25">
        <f>DATE(YEAR($B$2),MONTH($B$2),1)-WEEKDAY(DATE(YEAR($B$2),MONTH($B$2),1),1)+1+300</f>
        <v/>
      </c>
    </row>
    <row r="48">
      <c r="B48" s="25">
        <f>DATE(YEAR($B$2),MONTH($B$2),1)-WEEKDAY(DATE(YEAR($B$2),MONTH($B$2),1),1)+1+301</f>
        <v/>
      </c>
      <c r="C48" s="25">
        <f>DATE(YEAR($B$2),MONTH($B$2),1)-WEEKDAY(DATE(YEAR($B$2),MONTH($B$2),1),1)+1+302</f>
        <v/>
      </c>
      <c r="D48" s="25">
        <f>DATE(YEAR($B$2),MONTH($B$2),1)-WEEKDAY(DATE(YEAR($B$2),MONTH($B$2),1),1)+1+303</f>
        <v/>
      </c>
      <c r="E48" s="25">
        <f>DATE(YEAR($B$2),MONTH($B$2),1)-WEEKDAY(DATE(YEAR($B$2),MONTH($B$2),1),1)+1+304</f>
        <v/>
      </c>
      <c r="F48" s="25">
        <f>DATE(YEAR($B$2),MONTH($B$2),1)-WEEKDAY(DATE(YEAR($B$2),MONTH($B$2),1),1)+1+305</f>
        <v/>
      </c>
      <c r="G48" s="25">
        <f>DATE(YEAR($B$2),MONTH($B$2),1)-WEEKDAY(DATE(YEAR($B$2),MONTH($B$2),1),1)+1+306</f>
        <v/>
      </c>
      <c r="H48" s="25">
        <f>DATE(YEAR($B$2),MONTH($B$2),1)-WEEKDAY(DATE(YEAR($B$2),MONTH($B$2),1),1)+1+307</f>
        <v/>
      </c>
    </row>
    <row r="49">
      <c r="B49" s="25">
        <f>DATE(YEAR($B$2),MONTH($B$2),1)-WEEKDAY(DATE(YEAR($B$2),MONTH($B$2),1),1)+1+308</f>
        <v/>
      </c>
      <c r="C49" s="25">
        <f>DATE(YEAR($B$2),MONTH($B$2),1)-WEEKDAY(DATE(YEAR($B$2),MONTH($B$2),1),1)+1+309</f>
        <v/>
      </c>
      <c r="D49" s="25">
        <f>DATE(YEAR($B$2),MONTH($B$2),1)-WEEKDAY(DATE(YEAR($B$2),MONTH($B$2),1),1)+1+310</f>
        <v/>
      </c>
      <c r="E49" s="25">
        <f>DATE(YEAR($B$2),MONTH($B$2),1)-WEEKDAY(DATE(YEAR($B$2),MONTH($B$2),1),1)+1+311</f>
        <v/>
      </c>
      <c r="F49" s="25">
        <f>DATE(YEAR($B$2),MONTH($B$2),1)-WEEKDAY(DATE(YEAR($B$2),MONTH($B$2),1),1)+1+312</f>
        <v/>
      </c>
      <c r="G49" s="25">
        <f>DATE(YEAR($B$2),MONTH($B$2),1)-WEEKDAY(DATE(YEAR($B$2),MONTH($B$2),1),1)+1+313</f>
        <v/>
      </c>
      <c r="H49" s="25">
        <f>DATE(YEAR($B$2),MONTH($B$2),1)-WEEKDAY(DATE(YEAR($B$2),MONTH($B$2),1),1)+1+314</f>
        <v/>
      </c>
    </row>
    <row r="50">
      <c r="B50" s="25">
        <f>DATE(YEAR($B$2),MONTH($B$2),1)-WEEKDAY(DATE(YEAR($B$2),MONTH($B$2),1),1)+1+315</f>
        <v/>
      </c>
      <c r="C50" s="25">
        <f>DATE(YEAR($B$2),MONTH($B$2),1)-WEEKDAY(DATE(YEAR($B$2),MONTH($B$2),1),1)+1+316</f>
        <v/>
      </c>
      <c r="D50" s="25">
        <f>DATE(YEAR($B$2),MONTH($B$2),1)-WEEKDAY(DATE(YEAR($B$2),MONTH($B$2),1),1)+1+317</f>
        <v/>
      </c>
      <c r="E50" s="25">
        <f>DATE(YEAR($B$2),MONTH($B$2),1)-WEEKDAY(DATE(YEAR($B$2),MONTH($B$2),1),1)+1+318</f>
        <v/>
      </c>
      <c r="F50" s="25">
        <f>DATE(YEAR($B$2),MONTH($B$2),1)-WEEKDAY(DATE(YEAR($B$2),MONTH($B$2),1),1)+1+319</f>
        <v/>
      </c>
      <c r="G50" s="25">
        <f>DATE(YEAR($B$2),MONTH($B$2),1)-WEEKDAY(DATE(YEAR($B$2),MONTH($B$2),1),1)+1+320</f>
        <v/>
      </c>
      <c r="H50" s="25">
        <f>DATE(YEAR($B$2),MONTH($B$2),1)-WEEKDAY(DATE(YEAR($B$2),MONTH($B$2),1),1)+1+321</f>
        <v/>
      </c>
    </row>
    <row r="51">
      <c r="B51" s="25">
        <f>DATE(YEAR($B$2),MONTH($B$2),1)-WEEKDAY(DATE(YEAR($B$2),MONTH($B$2),1),1)+1+322</f>
        <v/>
      </c>
      <c r="C51" s="25">
        <f>DATE(YEAR($B$2),MONTH($B$2),1)-WEEKDAY(DATE(YEAR($B$2),MONTH($B$2),1),1)+1+323</f>
        <v/>
      </c>
      <c r="D51" s="25">
        <f>DATE(YEAR($B$2),MONTH($B$2),1)-WEEKDAY(DATE(YEAR($B$2),MONTH($B$2),1),1)+1+324</f>
        <v/>
      </c>
      <c r="E51" s="25">
        <f>DATE(YEAR($B$2),MONTH($B$2),1)-WEEKDAY(DATE(YEAR($B$2),MONTH($B$2),1),1)+1+325</f>
        <v/>
      </c>
      <c r="F51" s="25">
        <f>DATE(YEAR($B$2),MONTH($B$2),1)-WEEKDAY(DATE(YEAR($B$2),MONTH($B$2),1),1)+1+326</f>
        <v/>
      </c>
      <c r="G51" s="25">
        <f>DATE(YEAR($B$2),MONTH($B$2),1)-WEEKDAY(DATE(YEAR($B$2),MONTH($B$2),1),1)+1+327</f>
        <v/>
      </c>
      <c r="H51" s="25">
        <f>DATE(YEAR($B$2),MONTH($B$2),1)-WEEKDAY(DATE(YEAR($B$2),MONTH($B$2),1),1)+1+328</f>
        <v/>
      </c>
    </row>
    <row r="52">
      <c r="B52" s="25">
        <f>DATE(YEAR($B$2),MONTH($B$2),1)-WEEKDAY(DATE(YEAR($B$2),MONTH($B$2),1),1)+1+329</f>
        <v/>
      </c>
      <c r="C52" s="25">
        <f>DATE(YEAR($B$2),MONTH($B$2),1)-WEEKDAY(DATE(YEAR($B$2),MONTH($B$2),1),1)+1+330</f>
        <v/>
      </c>
      <c r="D52" s="25">
        <f>DATE(YEAR($B$2),MONTH($B$2),1)-WEEKDAY(DATE(YEAR($B$2),MONTH($B$2),1),1)+1+331</f>
        <v/>
      </c>
      <c r="E52" s="25">
        <f>DATE(YEAR($B$2),MONTH($B$2),1)-WEEKDAY(DATE(YEAR($B$2),MONTH($B$2),1),1)+1+332</f>
        <v/>
      </c>
      <c r="F52" s="25">
        <f>DATE(YEAR($B$2),MONTH($B$2),1)-WEEKDAY(DATE(YEAR($B$2),MONTH($B$2),1),1)+1+333</f>
        <v/>
      </c>
      <c r="G52" s="25">
        <f>DATE(YEAR($B$2),MONTH($B$2),1)-WEEKDAY(DATE(YEAR($B$2),MONTH($B$2),1),1)+1+334</f>
        <v/>
      </c>
      <c r="H52" s="25">
        <f>DATE(YEAR($B$2),MONTH($B$2),1)-WEEKDAY(DATE(YEAR($B$2),MONTH($B$2),1),1)+1+335</f>
        <v/>
      </c>
    </row>
    <row r="53">
      <c r="B53" s="25">
        <f>DATE(YEAR($B$2),MONTH($B$2),1)-WEEKDAY(DATE(YEAR($B$2),MONTH($B$2),1),1)+1+336</f>
        <v/>
      </c>
      <c r="C53" s="25">
        <f>DATE(YEAR($B$2),MONTH($B$2),1)-WEEKDAY(DATE(YEAR($B$2),MONTH($B$2),1),1)+1+337</f>
        <v/>
      </c>
      <c r="D53" s="25">
        <f>DATE(YEAR($B$2),MONTH($B$2),1)-WEEKDAY(DATE(YEAR($B$2),MONTH($B$2),1),1)+1+338</f>
        <v/>
      </c>
      <c r="E53" s="25">
        <f>DATE(YEAR($B$2),MONTH($B$2),1)-WEEKDAY(DATE(YEAR($B$2),MONTH($B$2),1),1)+1+339</f>
        <v/>
      </c>
      <c r="F53" s="25">
        <f>DATE(YEAR($B$2),MONTH($B$2),1)-WEEKDAY(DATE(YEAR($B$2),MONTH($B$2),1),1)+1+340</f>
        <v/>
      </c>
      <c r="G53" s="25">
        <f>DATE(YEAR($B$2),MONTH($B$2),1)-WEEKDAY(DATE(YEAR($B$2),MONTH($B$2),1),1)+1+341</f>
        <v/>
      </c>
      <c r="H53" s="25">
        <f>DATE(YEAR($B$2),MONTH($B$2),1)-WEEKDAY(DATE(YEAR($B$2),MONTH($B$2),1),1)+1+342</f>
        <v/>
      </c>
    </row>
    <row r="54">
      <c r="B54" s="25">
        <f>DATE(YEAR($B$2),MONTH($B$2),1)-WEEKDAY(DATE(YEAR($B$2),MONTH($B$2),1),1)+1+343</f>
        <v/>
      </c>
      <c r="C54" s="25">
        <f>DATE(YEAR($B$2),MONTH($B$2),1)-WEEKDAY(DATE(YEAR($B$2),MONTH($B$2),1),1)+1+344</f>
        <v/>
      </c>
      <c r="D54" s="25">
        <f>DATE(YEAR($B$2),MONTH($B$2),1)-WEEKDAY(DATE(YEAR($B$2),MONTH($B$2),1),1)+1+345</f>
        <v/>
      </c>
      <c r="E54" s="25">
        <f>DATE(YEAR($B$2),MONTH($B$2),1)-WEEKDAY(DATE(YEAR($B$2),MONTH($B$2),1),1)+1+346</f>
        <v/>
      </c>
      <c r="F54" s="25">
        <f>DATE(YEAR($B$2),MONTH($B$2),1)-WEEKDAY(DATE(YEAR($B$2),MONTH($B$2),1),1)+1+347</f>
        <v/>
      </c>
      <c r="G54" s="25">
        <f>DATE(YEAR($B$2),MONTH($B$2),1)-WEEKDAY(DATE(YEAR($B$2),MONTH($B$2),1),1)+1+348</f>
        <v/>
      </c>
      <c r="H54" s="25">
        <f>DATE(YEAR($B$2),MONTH($B$2),1)-WEEKDAY(DATE(YEAR($B$2),MONTH($B$2),1),1)+1+349</f>
        <v/>
      </c>
    </row>
    <row r="55">
      <c r="B55" s="25">
        <f>DATE(YEAR($B$2),MONTH($B$2),1)-WEEKDAY(DATE(YEAR($B$2),MONTH($B$2),1),1)+1+350</f>
        <v/>
      </c>
      <c r="C55" s="25">
        <f>DATE(YEAR($B$2),MONTH($B$2),1)-WEEKDAY(DATE(YEAR($B$2),MONTH($B$2),1),1)+1+351</f>
        <v/>
      </c>
      <c r="D55" s="25">
        <f>DATE(YEAR($B$2),MONTH($B$2),1)-WEEKDAY(DATE(YEAR($B$2),MONTH($B$2),1),1)+1+352</f>
        <v/>
      </c>
      <c r="E55" s="25">
        <f>DATE(YEAR($B$2),MONTH($B$2),1)-WEEKDAY(DATE(YEAR($B$2),MONTH($B$2),1),1)+1+353</f>
        <v/>
      </c>
      <c r="F55" s="25">
        <f>DATE(YEAR($B$2),MONTH($B$2),1)-WEEKDAY(DATE(YEAR($B$2),MONTH($B$2),1),1)+1+354</f>
        <v/>
      </c>
      <c r="G55" s="25">
        <f>DATE(YEAR($B$2),MONTH($B$2),1)-WEEKDAY(DATE(YEAR($B$2),MONTH($B$2),1),1)+1+355</f>
        <v/>
      </c>
      <c r="H55" s="25">
        <f>DATE(YEAR($B$2),MONTH($B$2),1)-WEEKDAY(DATE(YEAR($B$2),MONTH($B$2),1),1)+1+356</f>
        <v/>
      </c>
    </row>
    <row r="56">
      <c r="B56" s="25">
        <f>DATE(YEAR($B$2),MONTH($B$2),1)-WEEKDAY(DATE(YEAR($B$2),MONTH($B$2),1),1)+1+357</f>
        <v/>
      </c>
      <c r="C56" s="25">
        <f>DATE(YEAR($B$2),MONTH($B$2),1)-WEEKDAY(DATE(YEAR($B$2),MONTH($B$2),1),1)+1+358</f>
        <v/>
      </c>
      <c r="D56" s="25">
        <f>DATE(YEAR($B$2),MONTH($B$2),1)-WEEKDAY(DATE(YEAR($B$2),MONTH($B$2),1),1)+1+359</f>
        <v/>
      </c>
      <c r="E56" s="25">
        <f>DATE(YEAR($B$2),MONTH($B$2),1)-WEEKDAY(DATE(YEAR($B$2),MONTH($B$2),1),1)+1+360</f>
        <v/>
      </c>
      <c r="F56" s="25">
        <f>DATE(YEAR($B$2),MONTH($B$2),1)-WEEKDAY(DATE(YEAR($B$2),MONTH($B$2),1),1)+1+361</f>
        <v/>
      </c>
      <c r="G56" s="25">
        <f>DATE(YEAR($B$2),MONTH($B$2),1)-WEEKDAY(DATE(YEAR($B$2),MONTH($B$2),1),1)+1+362</f>
        <v/>
      </c>
      <c r="H56" s="25">
        <f>DATE(YEAR($B$2),MONTH($B$2),1)-WEEKDAY(DATE(YEAR($B$2),MONTH($B$2),1),1)+1+363</f>
        <v/>
      </c>
    </row>
    <row r="57">
      <c r="B57" s="25">
        <f>DATE(YEAR($B$2),MONTH($B$2),1)-WEEKDAY(DATE(YEAR($B$2),MONTH($B$2),1),1)+1+364</f>
        <v/>
      </c>
      <c r="C57" s="25">
        <f>DATE(YEAR($B$2),MONTH($B$2),1)-WEEKDAY(DATE(YEAR($B$2),MONTH($B$2),1),1)+1+365</f>
        <v/>
      </c>
      <c r="D57" s="25">
        <f>DATE(YEAR($B$2),MONTH($B$2),1)-WEEKDAY(DATE(YEAR($B$2),MONTH($B$2),1),1)+1+366</f>
        <v/>
      </c>
      <c r="E57" s="25">
        <f>DATE(YEAR($B$2),MONTH($B$2),1)-WEEKDAY(DATE(YEAR($B$2),MONTH($B$2),1),1)+1+367</f>
        <v/>
      </c>
      <c r="F57" s="25">
        <f>DATE(YEAR($B$2),MONTH($B$2),1)-WEEKDAY(DATE(YEAR($B$2),MONTH($B$2),1),1)+1+368</f>
        <v/>
      </c>
      <c r="G57" s="25">
        <f>DATE(YEAR($B$2),MONTH($B$2),1)-WEEKDAY(DATE(YEAR($B$2),MONTH($B$2),1),1)+1+369</f>
        <v/>
      </c>
      <c r="H57" s="25">
        <f>DATE(YEAR($B$2),MONTH($B$2),1)-WEEKDAY(DATE(YEAR($B$2),MONTH($B$2),1),1)+1+370</f>
        <v/>
      </c>
    </row>
    <row r="58">
      <c r="B58" s="25">
        <f>DATE(YEAR($B$2),MONTH($B$2),1)-WEEKDAY(DATE(YEAR($B$2),MONTH($B$2),1),1)+1+371</f>
        <v/>
      </c>
      <c r="C58" s="25">
        <f>DATE(YEAR($B$2),MONTH($B$2),1)-WEEKDAY(DATE(YEAR($B$2),MONTH($B$2),1),1)+1+372</f>
        <v/>
      </c>
      <c r="D58" s="25">
        <f>DATE(YEAR($B$2),MONTH($B$2),1)-WEEKDAY(DATE(YEAR($B$2),MONTH($B$2),1),1)+1+373</f>
        <v/>
      </c>
      <c r="E58" s="25">
        <f>DATE(YEAR($B$2),MONTH($B$2),1)-WEEKDAY(DATE(YEAR($B$2),MONTH($B$2),1),1)+1+374</f>
        <v/>
      </c>
      <c r="F58" s="25">
        <f>DATE(YEAR($B$2),MONTH($B$2),1)-WEEKDAY(DATE(YEAR($B$2),MONTH($B$2),1),1)+1+375</f>
        <v/>
      </c>
      <c r="G58" s="25">
        <f>DATE(YEAR($B$2),MONTH($B$2),1)-WEEKDAY(DATE(YEAR($B$2),MONTH($B$2),1),1)+1+376</f>
        <v/>
      </c>
      <c r="H58" s="25">
        <f>DATE(YEAR($B$2),MONTH($B$2),1)-WEEKDAY(DATE(YEAR($B$2),MONTH($B$2),1),1)+1+377</f>
        <v/>
      </c>
    </row>
    <row r="59">
      <c r="B59" s="25">
        <f>DATE(YEAR($B$2),MONTH($B$2),1)-WEEKDAY(DATE(YEAR($B$2),MONTH($B$2),1),1)+1+378</f>
        <v/>
      </c>
      <c r="C59" s="25">
        <f>DATE(YEAR($B$2),MONTH($B$2),1)-WEEKDAY(DATE(YEAR($B$2),MONTH($B$2),1),1)+1+379</f>
        <v/>
      </c>
      <c r="D59" s="25">
        <f>DATE(YEAR($B$2),MONTH($B$2),1)-WEEKDAY(DATE(YEAR($B$2),MONTH($B$2),1),1)+1+380</f>
        <v/>
      </c>
      <c r="E59" s="25">
        <f>DATE(YEAR($B$2),MONTH($B$2),1)-WEEKDAY(DATE(YEAR($B$2),MONTH($B$2),1),1)+1+381</f>
        <v/>
      </c>
      <c r="F59" s="25">
        <f>DATE(YEAR($B$2),MONTH($B$2),1)-WEEKDAY(DATE(YEAR($B$2),MONTH($B$2),1),1)+1+382</f>
        <v/>
      </c>
      <c r="G59" s="25">
        <f>DATE(YEAR($B$2),MONTH($B$2),1)-WEEKDAY(DATE(YEAR($B$2),MONTH($B$2),1),1)+1+383</f>
        <v/>
      </c>
      <c r="H59" s="25">
        <f>DATE(YEAR($B$2),MONTH($B$2),1)-WEEKDAY(DATE(YEAR($B$2),MONTH($B$2),1),1)+1+384</f>
        <v/>
      </c>
    </row>
    <row r="60">
      <c r="B60" s="25">
        <f>DATE(YEAR($B$2),MONTH($B$2),1)-WEEKDAY(DATE(YEAR($B$2),MONTH($B$2),1),1)+1+385</f>
        <v/>
      </c>
      <c r="C60" s="25">
        <f>DATE(YEAR($B$2),MONTH($B$2),1)-WEEKDAY(DATE(YEAR($B$2),MONTH($B$2),1),1)+1+386</f>
        <v/>
      </c>
      <c r="D60" s="25">
        <f>DATE(YEAR($B$2),MONTH($B$2),1)-WEEKDAY(DATE(YEAR($B$2),MONTH($B$2),1),1)+1+387</f>
        <v/>
      </c>
      <c r="E60" s="25">
        <f>DATE(YEAR($B$2),MONTH($B$2),1)-WEEKDAY(DATE(YEAR($B$2),MONTH($B$2),1),1)+1+388</f>
        <v/>
      </c>
      <c r="F60" s="25">
        <f>DATE(YEAR($B$2),MONTH($B$2),1)-WEEKDAY(DATE(YEAR($B$2),MONTH($B$2),1),1)+1+389</f>
        <v/>
      </c>
      <c r="G60" s="25">
        <f>DATE(YEAR($B$2),MONTH($B$2),1)-WEEKDAY(DATE(YEAR($B$2),MONTH($B$2),1),1)+1+390</f>
        <v/>
      </c>
      <c r="H60" s="25">
        <f>DATE(YEAR($B$2),MONTH($B$2),1)-WEEKDAY(DATE(YEAR($B$2),MONTH($B$2),1),1)+1+391</f>
        <v/>
      </c>
    </row>
    <row r="61">
      <c r="B61" s="25">
        <f>DATE(YEAR($B$2),MONTH($B$2),1)-WEEKDAY(DATE(YEAR($B$2),MONTH($B$2),1),1)+1+392</f>
        <v/>
      </c>
      <c r="C61" s="25">
        <f>DATE(YEAR($B$2),MONTH($B$2),1)-WEEKDAY(DATE(YEAR($B$2),MONTH($B$2),1),1)+1+393</f>
        <v/>
      </c>
      <c r="D61" s="25">
        <f>DATE(YEAR($B$2),MONTH($B$2),1)-WEEKDAY(DATE(YEAR($B$2),MONTH($B$2),1),1)+1+394</f>
        <v/>
      </c>
      <c r="E61" s="25">
        <f>DATE(YEAR($B$2),MONTH($B$2),1)-WEEKDAY(DATE(YEAR($B$2),MONTH($B$2),1),1)+1+395</f>
        <v/>
      </c>
      <c r="F61" s="25">
        <f>DATE(YEAR($B$2),MONTH($B$2),1)-WEEKDAY(DATE(YEAR($B$2),MONTH($B$2),1),1)+1+396</f>
        <v/>
      </c>
      <c r="G61" s="25">
        <f>DATE(YEAR($B$2),MONTH($B$2),1)-WEEKDAY(DATE(YEAR($B$2),MONTH($B$2),1),1)+1+397</f>
        <v/>
      </c>
      <c r="H61" s="25">
        <f>DATE(YEAR($B$2),MONTH($B$2),1)-WEEKDAY(DATE(YEAR($B$2),MONTH($B$2),1),1)+1+398</f>
        <v/>
      </c>
    </row>
    <row r="62">
      <c r="B62" s="25">
        <f>DATE(YEAR($B$2),MONTH($B$2),1)-WEEKDAY(DATE(YEAR($B$2),MONTH($B$2),1),1)+1+399</f>
        <v/>
      </c>
      <c r="C62" s="25">
        <f>DATE(YEAR($B$2),MONTH($B$2),1)-WEEKDAY(DATE(YEAR($B$2),MONTH($B$2),1),1)+1+400</f>
        <v/>
      </c>
      <c r="D62" s="25">
        <f>DATE(YEAR($B$2),MONTH($B$2),1)-WEEKDAY(DATE(YEAR($B$2),MONTH($B$2),1),1)+1+401</f>
        <v/>
      </c>
      <c r="E62" s="25">
        <f>DATE(YEAR($B$2),MONTH($B$2),1)-WEEKDAY(DATE(YEAR($B$2),MONTH($B$2),1),1)+1+402</f>
        <v/>
      </c>
      <c r="F62" s="25">
        <f>DATE(YEAR($B$2),MONTH($B$2),1)-WEEKDAY(DATE(YEAR($B$2),MONTH($B$2),1),1)+1+403</f>
        <v/>
      </c>
      <c r="G62" s="25">
        <f>DATE(YEAR($B$2),MONTH($B$2),1)-WEEKDAY(DATE(YEAR($B$2),MONTH($B$2),1),1)+1+404</f>
        <v/>
      </c>
      <c r="H62" s="25">
        <f>DATE(YEAR($B$2),MONTH($B$2),1)-WEEKDAY(DATE(YEAR($B$2),MONTH($B$2),1),1)+1+405</f>
        <v/>
      </c>
    </row>
    <row r="63">
      <c r="B63" s="25">
        <f>DATE(YEAR($B$2),MONTH($B$2),1)-WEEKDAY(DATE(YEAR($B$2),MONTH($B$2),1),1)+1+406</f>
        <v/>
      </c>
      <c r="C63" s="25">
        <f>DATE(YEAR($B$2),MONTH($B$2),1)-WEEKDAY(DATE(YEAR($B$2),MONTH($B$2),1),1)+1+407</f>
        <v/>
      </c>
      <c r="D63" s="25">
        <f>DATE(YEAR($B$2),MONTH($B$2),1)-WEEKDAY(DATE(YEAR($B$2),MONTH($B$2),1),1)+1+408</f>
        <v/>
      </c>
      <c r="E63" s="25">
        <f>DATE(YEAR($B$2),MONTH($B$2),1)-WEEKDAY(DATE(YEAR($B$2),MONTH($B$2),1),1)+1+409</f>
        <v/>
      </c>
      <c r="F63" s="25">
        <f>DATE(YEAR($B$2),MONTH($B$2),1)-WEEKDAY(DATE(YEAR($B$2),MONTH($B$2),1),1)+1+410</f>
        <v/>
      </c>
      <c r="G63" s="25">
        <f>DATE(YEAR($B$2),MONTH($B$2),1)-WEEKDAY(DATE(YEAR($B$2),MONTH($B$2),1),1)+1+411</f>
        <v/>
      </c>
      <c r="H63" s="25">
        <f>DATE(YEAR($B$2),MONTH($B$2),1)-WEEKDAY(DATE(YEAR($B$2),MONTH($B$2),1),1)+1+412</f>
        <v/>
      </c>
    </row>
    <row r="64">
      <c r="B64" s="25">
        <f>DATE(YEAR($B$2),MONTH($B$2),1)-WEEKDAY(DATE(YEAR($B$2),MONTH($B$2),1),1)+1+413</f>
        <v/>
      </c>
      <c r="C64" s="25">
        <f>DATE(YEAR($B$2),MONTH($B$2),1)-WEEKDAY(DATE(YEAR($B$2),MONTH($B$2),1),1)+1+414</f>
        <v/>
      </c>
      <c r="D64" s="25">
        <f>DATE(YEAR($B$2),MONTH($B$2),1)-WEEKDAY(DATE(YEAR($B$2),MONTH($B$2),1),1)+1+415</f>
        <v/>
      </c>
      <c r="E64" s="25">
        <f>DATE(YEAR($B$2),MONTH($B$2),1)-WEEKDAY(DATE(YEAR($B$2),MONTH($B$2),1),1)+1+416</f>
        <v/>
      </c>
      <c r="F64" s="25">
        <f>DATE(YEAR($B$2),MONTH($B$2),1)-WEEKDAY(DATE(YEAR($B$2),MONTH($B$2),1),1)+1+417</f>
        <v/>
      </c>
      <c r="G64" s="25">
        <f>DATE(YEAR($B$2),MONTH($B$2),1)-WEEKDAY(DATE(YEAR($B$2),MONTH($B$2),1),1)+1+418</f>
        <v/>
      </c>
      <c r="H64" s="25">
        <f>DATE(YEAR($B$2),MONTH($B$2),1)-WEEKDAY(DATE(YEAR($B$2),MONTH($B$2),1),1)+1+419</f>
        <v/>
      </c>
    </row>
    <row r="65">
      <c r="B65" s="25">
        <f>DATE(YEAR($B$2),MONTH($B$2),1)-WEEKDAY(DATE(YEAR($B$2),MONTH($B$2),1),1)+1+420</f>
        <v/>
      </c>
      <c r="C65" s="25">
        <f>DATE(YEAR($B$2),MONTH($B$2),1)-WEEKDAY(DATE(YEAR($B$2),MONTH($B$2),1),1)+1+421</f>
        <v/>
      </c>
      <c r="D65" s="25">
        <f>DATE(YEAR($B$2),MONTH($B$2),1)-WEEKDAY(DATE(YEAR($B$2),MONTH($B$2),1),1)+1+422</f>
        <v/>
      </c>
      <c r="E65" s="25">
        <f>DATE(YEAR($B$2),MONTH($B$2),1)-WEEKDAY(DATE(YEAR($B$2),MONTH($B$2),1),1)+1+423</f>
        <v/>
      </c>
      <c r="F65" s="25">
        <f>DATE(YEAR($B$2),MONTH($B$2),1)-WEEKDAY(DATE(YEAR($B$2),MONTH($B$2),1),1)+1+424</f>
        <v/>
      </c>
      <c r="G65" s="25">
        <f>DATE(YEAR($B$2),MONTH($B$2),1)-WEEKDAY(DATE(YEAR($B$2),MONTH($B$2),1),1)+1+425</f>
        <v/>
      </c>
      <c r="H65" s="25">
        <f>DATE(YEAR($B$2),MONTH($B$2),1)-WEEKDAY(DATE(YEAR($B$2),MONTH($B$2),1),1)+1+426</f>
        <v/>
      </c>
    </row>
    <row r="66">
      <c r="B66" s="25">
        <f>DATE(YEAR($B$2),MONTH($B$2),1)-WEEKDAY(DATE(YEAR($B$2),MONTH($B$2),1),1)+1+427</f>
        <v/>
      </c>
      <c r="C66" s="25">
        <f>DATE(YEAR($B$2),MONTH($B$2),1)-WEEKDAY(DATE(YEAR($B$2),MONTH($B$2),1),1)+1+428</f>
        <v/>
      </c>
      <c r="D66" s="25">
        <f>DATE(YEAR($B$2),MONTH($B$2),1)-WEEKDAY(DATE(YEAR($B$2),MONTH($B$2),1),1)+1+429</f>
        <v/>
      </c>
      <c r="E66" s="25">
        <f>DATE(YEAR($B$2),MONTH($B$2),1)-WEEKDAY(DATE(YEAR($B$2),MONTH($B$2),1),1)+1+430</f>
        <v/>
      </c>
      <c r="F66" s="25">
        <f>DATE(YEAR($B$2),MONTH($B$2),1)-WEEKDAY(DATE(YEAR($B$2),MONTH($B$2),1),1)+1+431</f>
        <v/>
      </c>
      <c r="G66" s="25">
        <f>DATE(YEAR($B$2),MONTH($B$2),1)-WEEKDAY(DATE(YEAR($B$2),MONTH($B$2),1),1)+1+432</f>
        <v/>
      </c>
      <c r="H66" s="25">
        <f>DATE(YEAR($B$2),MONTH($B$2),1)-WEEKDAY(DATE(YEAR($B$2),MONTH($B$2),1),1)+1+433</f>
        <v/>
      </c>
    </row>
    <row r="67">
      <c r="B67" s="25">
        <f>DATE(YEAR($B$2),MONTH($B$2),1)-WEEKDAY(DATE(YEAR($B$2),MONTH($B$2),1),1)+1+434</f>
        <v/>
      </c>
      <c r="C67" s="25">
        <f>DATE(YEAR($B$2),MONTH($B$2),1)-WEEKDAY(DATE(YEAR($B$2),MONTH($B$2),1),1)+1+435</f>
        <v/>
      </c>
      <c r="D67" s="25">
        <f>DATE(YEAR($B$2),MONTH($B$2),1)-WEEKDAY(DATE(YEAR($B$2),MONTH($B$2),1),1)+1+436</f>
        <v/>
      </c>
      <c r="E67" s="25">
        <f>DATE(YEAR($B$2),MONTH($B$2),1)-WEEKDAY(DATE(YEAR($B$2),MONTH($B$2),1),1)+1+437</f>
        <v/>
      </c>
      <c r="F67" s="25">
        <f>DATE(YEAR($B$2),MONTH($B$2),1)-WEEKDAY(DATE(YEAR($B$2),MONTH($B$2),1),1)+1+438</f>
        <v/>
      </c>
      <c r="G67" s="25">
        <f>DATE(YEAR($B$2),MONTH($B$2),1)-WEEKDAY(DATE(YEAR($B$2),MONTH($B$2),1),1)+1+439</f>
        <v/>
      </c>
      <c r="H67" s="25">
        <f>DATE(YEAR($B$2),MONTH($B$2),1)-WEEKDAY(DATE(YEAR($B$2),MONTH($B$2),1),1)+1+440</f>
        <v/>
      </c>
    </row>
    <row r="68">
      <c r="B68" s="25">
        <f>DATE(YEAR($B$2),MONTH($B$2),1)-WEEKDAY(DATE(YEAR($B$2),MONTH($B$2),1),1)+1+441</f>
        <v/>
      </c>
      <c r="C68" s="25">
        <f>DATE(YEAR($B$2),MONTH($B$2),1)-WEEKDAY(DATE(YEAR($B$2),MONTH($B$2),1),1)+1+442</f>
        <v/>
      </c>
      <c r="D68" s="25">
        <f>DATE(YEAR($B$2),MONTH($B$2),1)-WEEKDAY(DATE(YEAR($B$2),MONTH($B$2),1),1)+1+443</f>
        <v/>
      </c>
      <c r="E68" s="25">
        <f>DATE(YEAR($B$2),MONTH($B$2),1)-WEEKDAY(DATE(YEAR($B$2),MONTH($B$2),1),1)+1+444</f>
        <v/>
      </c>
      <c r="F68" s="25">
        <f>DATE(YEAR($B$2),MONTH($B$2),1)-WEEKDAY(DATE(YEAR($B$2),MONTH($B$2),1),1)+1+445</f>
        <v/>
      </c>
      <c r="G68" s="25">
        <f>DATE(YEAR($B$2),MONTH($B$2),1)-WEEKDAY(DATE(YEAR($B$2),MONTH($B$2),1),1)+1+446</f>
        <v/>
      </c>
      <c r="H68" s="25">
        <f>DATE(YEAR($B$2),MONTH($B$2),1)-WEEKDAY(DATE(YEAR($B$2),MONTH($B$2),1),1)+1+447</f>
        <v/>
      </c>
    </row>
    <row r="69">
      <c r="B69" s="25">
        <f>DATE(YEAR($B$2),MONTH($B$2),1)-WEEKDAY(DATE(YEAR($B$2),MONTH($B$2),1),1)+1+448</f>
        <v/>
      </c>
      <c r="C69" s="25">
        <f>DATE(YEAR($B$2),MONTH($B$2),1)-WEEKDAY(DATE(YEAR($B$2),MONTH($B$2),1),1)+1+449</f>
        <v/>
      </c>
      <c r="D69" s="25">
        <f>DATE(YEAR($B$2),MONTH($B$2),1)-WEEKDAY(DATE(YEAR($B$2),MONTH($B$2),1),1)+1+450</f>
        <v/>
      </c>
      <c r="E69" s="25">
        <f>DATE(YEAR($B$2),MONTH($B$2),1)-WEEKDAY(DATE(YEAR($B$2),MONTH($B$2),1),1)+1+451</f>
        <v/>
      </c>
      <c r="F69" s="25">
        <f>DATE(YEAR($B$2),MONTH($B$2),1)-WEEKDAY(DATE(YEAR($B$2),MONTH($B$2),1),1)+1+452</f>
        <v/>
      </c>
      <c r="G69" s="25">
        <f>DATE(YEAR($B$2),MONTH($B$2),1)-WEEKDAY(DATE(YEAR($B$2),MONTH($B$2),1),1)+1+453</f>
        <v/>
      </c>
      <c r="H69" s="25">
        <f>DATE(YEAR($B$2),MONTH($B$2),1)-WEEKDAY(DATE(YEAR($B$2),MONTH($B$2),1),1)+1+454</f>
        <v/>
      </c>
    </row>
    <row r="70">
      <c r="B70" s="25">
        <f>DATE(YEAR($B$2),MONTH($B$2),1)-WEEKDAY(DATE(YEAR($B$2),MONTH($B$2),1),1)+1+455</f>
        <v/>
      </c>
      <c r="C70" s="25">
        <f>DATE(YEAR($B$2),MONTH($B$2),1)-WEEKDAY(DATE(YEAR($B$2),MONTH($B$2),1),1)+1+456</f>
        <v/>
      </c>
      <c r="D70" s="25">
        <f>DATE(YEAR($B$2),MONTH($B$2),1)-WEEKDAY(DATE(YEAR($B$2),MONTH($B$2),1),1)+1+457</f>
        <v/>
      </c>
      <c r="E70" s="25">
        <f>DATE(YEAR($B$2),MONTH($B$2),1)-WEEKDAY(DATE(YEAR($B$2),MONTH($B$2),1),1)+1+458</f>
        <v/>
      </c>
      <c r="F70" s="25">
        <f>DATE(YEAR($B$2),MONTH($B$2),1)-WEEKDAY(DATE(YEAR($B$2),MONTH($B$2),1),1)+1+459</f>
        <v/>
      </c>
      <c r="G70" s="25">
        <f>DATE(YEAR($B$2),MONTH($B$2),1)-WEEKDAY(DATE(YEAR($B$2),MONTH($B$2),1),1)+1+460</f>
        <v/>
      </c>
      <c r="H70" s="25">
        <f>DATE(YEAR($B$2),MONTH($B$2),1)-WEEKDAY(DATE(YEAR($B$2),MONTH($B$2),1),1)+1+461</f>
        <v/>
      </c>
    </row>
    <row r="71">
      <c r="B71" s="25">
        <f>DATE(YEAR($B$2),MONTH($B$2),1)-WEEKDAY(DATE(YEAR($B$2),MONTH($B$2),1),1)+1+462</f>
        <v/>
      </c>
      <c r="C71" s="25">
        <f>DATE(YEAR($B$2),MONTH($B$2),1)-WEEKDAY(DATE(YEAR($B$2),MONTH($B$2),1),1)+1+463</f>
        <v/>
      </c>
      <c r="D71" s="25">
        <f>DATE(YEAR($B$2),MONTH($B$2),1)-WEEKDAY(DATE(YEAR($B$2),MONTH($B$2),1),1)+1+464</f>
        <v/>
      </c>
      <c r="E71" s="25">
        <f>DATE(YEAR($B$2),MONTH($B$2),1)-WEEKDAY(DATE(YEAR($B$2),MONTH($B$2),1),1)+1+465</f>
        <v/>
      </c>
      <c r="F71" s="25">
        <f>DATE(YEAR($B$2),MONTH($B$2),1)-WEEKDAY(DATE(YEAR($B$2),MONTH($B$2),1),1)+1+466</f>
        <v/>
      </c>
      <c r="G71" s="25">
        <f>DATE(YEAR($B$2),MONTH($B$2),1)-WEEKDAY(DATE(YEAR($B$2),MONTH($B$2),1),1)+1+467</f>
        <v/>
      </c>
      <c r="H71" s="25">
        <f>DATE(YEAR($B$2),MONTH($B$2),1)-WEEKDAY(DATE(YEAR($B$2),MONTH($B$2),1),1)+1+468</f>
        <v/>
      </c>
    </row>
    <row r="72">
      <c r="B72" s="25">
        <f>DATE(YEAR($B$2),MONTH($B$2),1)-WEEKDAY(DATE(YEAR($B$2),MONTH($B$2),1),1)+1+469</f>
        <v/>
      </c>
      <c r="C72" s="25">
        <f>DATE(YEAR($B$2),MONTH($B$2),1)-WEEKDAY(DATE(YEAR($B$2),MONTH($B$2),1),1)+1+470</f>
        <v/>
      </c>
      <c r="D72" s="25">
        <f>DATE(YEAR($B$2),MONTH($B$2),1)-WEEKDAY(DATE(YEAR($B$2),MONTH($B$2),1),1)+1+471</f>
        <v/>
      </c>
      <c r="E72" s="25">
        <f>DATE(YEAR($B$2),MONTH($B$2),1)-WEEKDAY(DATE(YEAR($B$2),MONTH($B$2),1),1)+1+472</f>
        <v/>
      </c>
      <c r="F72" s="25">
        <f>DATE(YEAR($B$2),MONTH($B$2),1)-WEEKDAY(DATE(YEAR($B$2),MONTH($B$2),1),1)+1+473</f>
        <v/>
      </c>
      <c r="G72" s="25">
        <f>DATE(YEAR($B$2),MONTH($B$2),1)-WEEKDAY(DATE(YEAR($B$2),MONTH($B$2),1),1)+1+474</f>
        <v/>
      </c>
      <c r="H72" s="25">
        <f>DATE(YEAR($B$2),MONTH($B$2),1)-WEEKDAY(DATE(YEAR($B$2),MONTH($B$2),1),1)+1+475</f>
        <v/>
      </c>
    </row>
    <row r="73">
      <c r="B73" s="25">
        <f>DATE(YEAR($B$2),MONTH($B$2),1)-WEEKDAY(DATE(YEAR($B$2),MONTH($B$2),1),1)+1+476</f>
        <v/>
      </c>
      <c r="C73" s="25">
        <f>DATE(YEAR($B$2),MONTH($B$2),1)-WEEKDAY(DATE(YEAR($B$2),MONTH($B$2),1),1)+1+477</f>
        <v/>
      </c>
      <c r="D73" s="25">
        <f>DATE(YEAR($B$2),MONTH($B$2),1)-WEEKDAY(DATE(YEAR($B$2),MONTH($B$2),1),1)+1+478</f>
        <v/>
      </c>
      <c r="E73" s="25">
        <f>DATE(YEAR($B$2),MONTH($B$2),1)-WEEKDAY(DATE(YEAR($B$2),MONTH($B$2),1),1)+1+479</f>
        <v/>
      </c>
      <c r="F73" s="25">
        <f>DATE(YEAR($B$2),MONTH($B$2),1)-WEEKDAY(DATE(YEAR($B$2),MONTH($B$2),1),1)+1+480</f>
        <v/>
      </c>
      <c r="G73" s="25">
        <f>DATE(YEAR($B$2),MONTH($B$2),1)-WEEKDAY(DATE(YEAR($B$2),MONTH($B$2),1),1)+1+481</f>
        <v/>
      </c>
      <c r="H73" s="25">
        <f>DATE(YEAR($B$2),MONTH($B$2),1)-WEEKDAY(DATE(YEAR($B$2),MONTH($B$2),1),1)+1+482</f>
        <v/>
      </c>
    </row>
    <row r="74">
      <c r="B74" s="25">
        <f>DATE(YEAR($B$2),MONTH($B$2),1)-WEEKDAY(DATE(YEAR($B$2),MONTH($B$2),1),1)+1+483</f>
        <v/>
      </c>
      <c r="C74" s="25">
        <f>DATE(YEAR($B$2),MONTH($B$2),1)-WEEKDAY(DATE(YEAR($B$2),MONTH($B$2),1),1)+1+484</f>
        <v/>
      </c>
      <c r="D74" s="25">
        <f>DATE(YEAR($B$2),MONTH($B$2),1)-WEEKDAY(DATE(YEAR($B$2),MONTH($B$2),1),1)+1+485</f>
        <v/>
      </c>
      <c r="E74" s="25">
        <f>DATE(YEAR($B$2),MONTH($B$2),1)-WEEKDAY(DATE(YEAR($B$2),MONTH($B$2),1),1)+1+486</f>
        <v/>
      </c>
      <c r="F74" s="25">
        <f>DATE(YEAR($B$2),MONTH($B$2),1)-WEEKDAY(DATE(YEAR($B$2),MONTH($B$2),1),1)+1+487</f>
        <v/>
      </c>
      <c r="G74" s="25">
        <f>DATE(YEAR($B$2),MONTH($B$2),1)-WEEKDAY(DATE(YEAR($B$2),MONTH($B$2),1),1)+1+488</f>
        <v/>
      </c>
      <c r="H74" s="25">
        <f>DATE(YEAR($B$2),MONTH($B$2),1)-WEEKDAY(DATE(YEAR($B$2),MONTH($B$2),1),1)+1+489</f>
        <v/>
      </c>
    </row>
    <row r="75">
      <c r="B75" s="25">
        <f>DATE(YEAR($B$2),MONTH($B$2),1)-WEEKDAY(DATE(YEAR($B$2),MONTH($B$2),1),1)+1+490</f>
        <v/>
      </c>
      <c r="C75" s="25">
        <f>DATE(YEAR($B$2),MONTH($B$2),1)-WEEKDAY(DATE(YEAR($B$2),MONTH($B$2),1),1)+1+491</f>
        <v/>
      </c>
      <c r="D75" s="25">
        <f>DATE(YEAR($B$2),MONTH($B$2),1)-WEEKDAY(DATE(YEAR($B$2),MONTH($B$2),1),1)+1+492</f>
        <v/>
      </c>
      <c r="E75" s="25">
        <f>DATE(YEAR($B$2),MONTH($B$2),1)-WEEKDAY(DATE(YEAR($B$2),MONTH($B$2),1),1)+1+493</f>
        <v/>
      </c>
      <c r="F75" s="25">
        <f>DATE(YEAR($B$2),MONTH($B$2),1)-WEEKDAY(DATE(YEAR($B$2),MONTH($B$2),1),1)+1+494</f>
        <v/>
      </c>
      <c r="G75" s="25">
        <f>DATE(YEAR($B$2),MONTH($B$2),1)-WEEKDAY(DATE(YEAR($B$2),MONTH($B$2),1),1)+1+495</f>
        <v/>
      </c>
      <c r="H75" s="25">
        <f>DATE(YEAR($B$2),MONTH($B$2),1)-WEEKDAY(DATE(YEAR($B$2),MONTH($B$2),1),1)+1+496</f>
        <v/>
      </c>
    </row>
    <row r="76">
      <c r="B76" s="25">
        <f>DATE(YEAR($B$2),MONTH($B$2),1)-WEEKDAY(DATE(YEAR($B$2),MONTH($B$2),1),1)+1+497</f>
        <v/>
      </c>
      <c r="C76" s="25">
        <f>DATE(YEAR($B$2),MONTH($B$2),1)-WEEKDAY(DATE(YEAR($B$2),MONTH($B$2),1),1)+1+498</f>
        <v/>
      </c>
      <c r="D76" s="25">
        <f>DATE(YEAR($B$2),MONTH($B$2),1)-WEEKDAY(DATE(YEAR($B$2),MONTH($B$2),1),1)+1+499</f>
        <v/>
      </c>
      <c r="E76" s="25">
        <f>DATE(YEAR($B$2),MONTH($B$2),1)-WEEKDAY(DATE(YEAR($B$2),MONTH($B$2),1),1)+1+500</f>
        <v/>
      </c>
      <c r="F76" s="25">
        <f>DATE(YEAR($B$2),MONTH($B$2),1)-WEEKDAY(DATE(YEAR($B$2),MONTH($B$2),1),1)+1+501</f>
        <v/>
      </c>
      <c r="G76" s="25">
        <f>DATE(YEAR($B$2),MONTH($B$2),1)-WEEKDAY(DATE(YEAR($B$2),MONTH($B$2),1),1)+1+502</f>
        <v/>
      </c>
      <c r="H76" s="25">
        <f>DATE(YEAR($B$2),MONTH($B$2),1)-WEEKDAY(DATE(YEAR($B$2),MONTH($B$2),1),1)+1+503</f>
        <v/>
      </c>
    </row>
    <row r="77">
      <c r="B77" s="25">
        <f>DATE(YEAR($B$2),MONTH($B$2),1)-WEEKDAY(DATE(YEAR($B$2),MONTH($B$2),1),1)+1+504</f>
        <v/>
      </c>
      <c r="C77" s="25">
        <f>DATE(YEAR($B$2),MONTH($B$2),1)-WEEKDAY(DATE(YEAR($B$2),MONTH($B$2),1),1)+1+505</f>
        <v/>
      </c>
      <c r="D77" s="25">
        <f>DATE(YEAR($B$2),MONTH($B$2),1)-WEEKDAY(DATE(YEAR($B$2),MONTH($B$2),1),1)+1+506</f>
        <v/>
      </c>
      <c r="E77" s="25">
        <f>DATE(YEAR($B$2),MONTH($B$2),1)-WEEKDAY(DATE(YEAR($B$2),MONTH($B$2),1),1)+1+507</f>
        <v/>
      </c>
      <c r="F77" s="25">
        <f>DATE(YEAR($B$2),MONTH($B$2),1)-WEEKDAY(DATE(YEAR($B$2),MONTH($B$2),1),1)+1+508</f>
        <v/>
      </c>
      <c r="G77" s="25">
        <f>DATE(YEAR($B$2),MONTH($B$2),1)-WEEKDAY(DATE(YEAR($B$2),MONTH($B$2),1),1)+1+509</f>
        <v/>
      </c>
      <c r="H77" s="25">
        <f>DATE(YEAR($B$2),MONTH($B$2),1)-WEEKDAY(DATE(YEAR($B$2),MONTH($B$2),1),1)+1+510</f>
        <v/>
      </c>
    </row>
    <row r="78">
      <c r="B78" s="25">
        <f>DATE(YEAR($B$2),MONTH($B$2),1)-WEEKDAY(DATE(YEAR($B$2),MONTH($B$2),1),1)+1+511</f>
        <v/>
      </c>
      <c r="C78" s="25">
        <f>DATE(YEAR($B$2),MONTH($B$2),1)-WEEKDAY(DATE(YEAR($B$2),MONTH($B$2),1),1)+1+512</f>
        <v/>
      </c>
      <c r="D78" s="25">
        <f>DATE(YEAR($B$2),MONTH($B$2),1)-WEEKDAY(DATE(YEAR($B$2),MONTH($B$2),1),1)+1+513</f>
        <v/>
      </c>
      <c r="E78" s="25">
        <f>DATE(YEAR($B$2),MONTH($B$2),1)-WEEKDAY(DATE(YEAR($B$2),MONTH($B$2),1),1)+1+514</f>
        <v/>
      </c>
      <c r="F78" s="25">
        <f>DATE(YEAR($B$2),MONTH($B$2),1)-WEEKDAY(DATE(YEAR($B$2),MONTH($B$2),1),1)+1+515</f>
        <v/>
      </c>
      <c r="G78" s="25">
        <f>DATE(YEAR($B$2),MONTH($B$2),1)-WEEKDAY(DATE(YEAR($B$2),MONTH($B$2),1),1)+1+516</f>
        <v/>
      </c>
      <c r="H78" s="25">
        <f>DATE(YEAR($B$2),MONTH($B$2),1)-WEEKDAY(DATE(YEAR($B$2),MONTH($B$2),1),1)+1+517</f>
        <v/>
      </c>
    </row>
    <row r="79">
      <c r="B79" s="25">
        <f>DATE(YEAR($B$2),MONTH($B$2),1)-WEEKDAY(DATE(YEAR($B$2),MONTH($B$2),1),1)+1+518</f>
        <v/>
      </c>
      <c r="C79" s="25">
        <f>DATE(YEAR($B$2),MONTH($B$2),1)-WEEKDAY(DATE(YEAR($B$2),MONTH($B$2),1),1)+1+519</f>
        <v/>
      </c>
      <c r="D79" s="25">
        <f>DATE(YEAR($B$2),MONTH($B$2),1)-WEEKDAY(DATE(YEAR($B$2),MONTH($B$2),1),1)+1+520</f>
        <v/>
      </c>
      <c r="E79" s="25">
        <f>DATE(YEAR($B$2),MONTH($B$2),1)-WEEKDAY(DATE(YEAR($B$2),MONTH($B$2),1),1)+1+521</f>
        <v/>
      </c>
      <c r="F79" s="25">
        <f>DATE(YEAR($B$2),MONTH($B$2),1)-WEEKDAY(DATE(YEAR($B$2),MONTH($B$2),1),1)+1+522</f>
        <v/>
      </c>
      <c r="G79" s="25">
        <f>DATE(YEAR($B$2),MONTH($B$2),1)-WEEKDAY(DATE(YEAR($B$2),MONTH($B$2),1),1)+1+523</f>
        <v/>
      </c>
      <c r="H79" s="25">
        <f>DATE(YEAR($B$2),MONTH($B$2),1)-WEEKDAY(DATE(YEAR($B$2),MONTH($B$2),1),1)+1+524</f>
        <v/>
      </c>
    </row>
    <row r="80">
      <c r="B80" s="25">
        <f>DATE(YEAR($B$2),MONTH($B$2),1)-WEEKDAY(DATE(YEAR($B$2),MONTH($B$2),1),1)+1+525</f>
        <v/>
      </c>
      <c r="C80" s="25">
        <f>DATE(YEAR($B$2),MONTH($B$2),1)-WEEKDAY(DATE(YEAR($B$2),MONTH($B$2),1),1)+1+526</f>
        <v/>
      </c>
      <c r="D80" s="25">
        <f>DATE(YEAR($B$2),MONTH($B$2),1)-WEEKDAY(DATE(YEAR($B$2),MONTH($B$2),1),1)+1+527</f>
        <v/>
      </c>
      <c r="E80" s="25">
        <f>DATE(YEAR($B$2),MONTH($B$2),1)-WEEKDAY(DATE(YEAR($B$2),MONTH($B$2),1),1)+1+528</f>
        <v/>
      </c>
      <c r="F80" s="25">
        <f>DATE(YEAR($B$2),MONTH($B$2),1)-WEEKDAY(DATE(YEAR($B$2),MONTH($B$2),1),1)+1+529</f>
        <v/>
      </c>
      <c r="G80" s="25">
        <f>DATE(YEAR($B$2),MONTH($B$2),1)-WEEKDAY(DATE(YEAR($B$2),MONTH($B$2),1),1)+1+530</f>
        <v/>
      </c>
      <c r="H80" s="25">
        <f>DATE(YEAR($B$2),MONTH($B$2),1)-WEEKDAY(DATE(YEAR($B$2),MONTH($B$2),1),1)+1+531</f>
        <v/>
      </c>
    </row>
    <row r="81">
      <c r="B81" s="25">
        <f>DATE(YEAR($B$2),MONTH($B$2),1)-WEEKDAY(DATE(YEAR($B$2),MONTH($B$2),1),1)+1+532</f>
        <v/>
      </c>
      <c r="C81" s="25">
        <f>DATE(YEAR($B$2),MONTH($B$2),1)-WEEKDAY(DATE(YEAR($B$2),MONTH($B$2),1),1)+1+533</f>
        <v/>
      </c>
      <c r="D81" s="25">
        <f>DATE(YEAR($B$2),MONTH($B$2),1)-WEEKDAY(DATE(YEAR($B$2),MONTH($B$2),1),1)+1+534</f>
        <v/>
      </c>
      <c r="E81" s="25">
        <f>DATE(YEAR($B$2),MONTH($B$2),1)-WEEKDAY(DATE(YEAR($B$2),MONTH($B$2),1),1)+1+535</f>
        <v/>
      </c>
      <c r="F81" s="25">
        <f>DATE(YEAR($B$2),MONTH($B$2),1)-WEEKDAY(DATE(YEAR($B$2),MONTH($B$2),1),1)+1+536</f>
        <v/>
      </c>
      <c r="G81" s="25">
        <f>DATE(YEAR($B$2),MONTH($B$2),1)-WEEKDAY(DATE(YEAR($B$2),MONTH($B$2),1),1)+1+537</f>
        <v/>
      </c>
      <c r="H81" s="25">
        <f>DATE(YEAR($B$2),MONTH($B$2),1)-WEEKDAY(DATE(YEAR($B$2),MONTH($B$2),1),1)+1+538</f>
        <v/>
      </c>
    </row>
    <row r="82">
      <c r="B82" s="25">
        <f>DATE(YEAR($B$2),MONTH($B$2),1)-WEEKDAY(DATE(YEAR($B$2),MONTH($B$2),1),1)+1+539</f>
        <v/>
      </c>
      <c r="C82" s="25">
        <f>DATE(YEAR($B$2),MONTH($B$2),1)-WEEKDAY(DATE(YEAR($B$2),MONTH($B$2),1),1)+1+540</f>
        <v/>
      </c>
      <c r="D82" s="25">
        <f>DATE(YEAR($B$2),MONTH($B$2),1)-WEEKDAY(DATE(YEAR($B$2),MONTH($B$2),1),1)+1+541</f>
        <v/>
      </c>
      <c r="E82" s="25">
        <f>DATE(YEAR($B$2),MONTH($B$2),1)-WEEKDAY(DATE(YEAR($B$2),MONTH($B$2),1),1)+1+542</f>
        <v/>
      </c>
      <c r="F82" s="25">
        <f>DATE(YEAR($B$2),MONTH($B$2),1)-WEEKDAY(DATE(YEAR($B$2),MONTH($B$2),1),1)+1+543</f>
        <v/>
      </c>
      <c r="G82" s="25">
        <f>DATE(YEAR($B$2),MONTH($B$2),1)-WEEKDAY(DATE(YEAR($B$2),MONTH($B$2),1),1)+1+544</f>
        <v/>
      </c>
      <c r="H82" s="25">
        <f>DATE(YEAR($B$2),MONTH($B$2),1)-WEEKDAY(DATE(YEAR($B$2),MONTH($B$2),1),1)+1+545</f>
        <v/>
      </c>
    </row>
    <row r="83">
      <c r="B83" s="25">
        <f>DATE(YEAR($B$2),MONTH($B$2),1)-WEEKDAY(DATE(YEAR($B$2),MONTH($B$2),1),1)+1+546</f>
        <v/>
      </c>
      <c r="C83" s="25">
        <f>DATE(YEAR($B$2),MONTH($B$2),1)-WEEKDAY(DATE(YEAR($B$2),MONTH($B$2),1),1)+1+547</f>
        <v/>
      </c>
      <c r="D83" s="25">
        <f>DATE(YEAR($B$2),MONTH($B$2),1)-WEEKDAY(DATE(YEAR($B$2),MONTH($B$2),1),1)+1+548</f>
        <v/>
      </c>
      <c r="E83" s="25">
        <f>DATE(YEAR($B$2),MONTH($B$2),1)-WEEKDAY(DATE(YEAR($B$2),MONTH($B$2),1),1)+1+549</f>
        <v/>
      </c>
      <c r="F83" s="25">
        <f>DATE(YEAR($B$2),MONTH($B$2),1)-WEEKDAY(DATE(YEAR($B$2),MONTH($B$2),1),1)+1+550</f>
        <v/>
      </c>
      <c r="G83" s="25">
        <f>DATE(YEAR($B$2),MONTH($B$2),1)-WEEKDAY(DATE(YEAR($B$2),MONTH($B$2),1),1)+1+551</f>
        <v/>
      </c>
      <c r="H83" s="25">
        <f>DATE(YEAR($B$2),MONTH($B$2),1)-WEEKDAY(DATE(YEAR($B$2),MONTH($B$2),1),1)+1+552</f>
        <v/>
      </c>
    </row>
    <row r="84">
      <c r="B84" s="25">
        <f>DATE(YEAR($B$2),MONTH($B$2),1)-WEEKDAY(DATE(YEAR($B$2),MONTH($B$2),1),1)+1+553</f>
        <v/>
      </c>
      <c r="C84" s="25">
        <f>DATE(YEAR($B$2),MONTH($B$2),1)-WEEKDAY(DATE(YEAR($B$2),MONTH($B$2),1),1)+1+554</f>
        <v/>
      </c>
      <c r="D84" s="25">
        <f>DATE(YEAR($B$2),MONTH($B$2),1)-WEEKDAY(DATE(YEAR($B$2),MONTH($B$2),1),1)+1+555</f>
        <v/>
      </c>
      <c r="E84" s="25">
        <f>DATE(YEAR($B$2),MONTH($B$2),1)-WEEKDAY(DATE(YEAR($B$2),MONTH($B$2),1),1)+1+556</f>
        <v/>
      </c>
      <c r="F84" s="25">
        <f>DATE(YEAR($B$2),MONTH($B$2),1)-WEEKDAY(DATE(YEAR($B$2),MONTH($B$2),1),1)+1+557</f>
        <v/>
      </c>
      <c r="G84" s="25">
        <f>DATE(YEAR($B$2),MONTH($B$2),1)-WEEKDAY(DATE(YEAR($B$2),MONTH($B$2),1),1)+1+558</f>
        <v/>
      </c>
      <c r="H84" s="25">
        <f>DATE(YEAR($B$2),MONTH($B$2),1)-WEEKDAY(DATE(YEAR($B$2),MONTH($B$2),1),1)+1+559</f>
        <v/>
      </c>
    </row>
    <row r="85">
      <c r="B85" s="25">
        <f>DATE(YEAR($B$2),MONTH($B$2),1)-WEEKDAY(DATE(YEAR($B$2),MONTH($B$2),1),1)+1+560</f>
        <v/>
      </c>
      <c r="C85" s="25">
        <f>DATE(YEAR($B$2),MONTH($B$2),1)-WEEKDAY(DATE(YEAR($B$2),MONTH($B$2),1),1)+1+561</f>
        <v/>
      </c>
      <c r="D85" s="25">
        <f>DATE(YEAR($B$2),MONTH($B$2),1)-WEEKDAY(DATE(YEAR($B$2),MONTH($B$2),1),1)+1+562</f>
        <v/>
      </c>
      <c r="E85" s="25">
        <f>DATE(YEAR($B$2),MONTH($B$2),1)-WEEKDAY(DATE(YEAR($B$2),MONTH($B$2),1),1)+1+563</f>
        <v/>
      </c>
      <c r="F85" s="25">
        <f>DATE(YEAR($B$2),MONTH($B$2),1)-WEEKDAY(DATE(YEAR($B$2),MONTH($B$2),1),1)+1+564</f>
        <v/>
      </c>
      <c r="G85" s="25">
        <f>DATE(YEAR($B$2),MONTH($B$2),1)-WEEKDAY(DATE(YEAR($B$2),MONTH($B$2),1),1)+1+565</f>
        <v/>
      </c>
      <c r="H85" s="25">
        <f>DATE(YEAR($B$2),MONTH($B$2),1)-WEEKDAY(DATE(YEAR($B$2),MONTH($B$2),1),1)+1+566</f>
        <v/>
      </c>
    </row>
    <row r="86">
      <c r="B86" s="25">
        <f>DATE(YEAR($B$2),MONTH($B$2),1)-WEEKDAY(DATE(YEAR($B$2),MONTH($B$2),1),1)+1+567</f>
        <v/>
      </c>
      <c r="C86" s="25">
        <f>DATE(YEAR($B$2),MONTH($B$2),1)-WEEKDAY(DATE(YEAR($B$2),MONTH($B$2),1),1)+1+568</f>
        <v/>
      </c>
      <c r="D86" s="25">
        <f>DATE(YEAR($B$2),MONTH($B$2),1)-WEEKDAY(DATE(YEAR($B$2),MONTH($B$2),1),1)+1+569</f>
        <v/>
      </c>
      <c r="E86" s="25">
        <f>DATE(YEAR($B$2),MONTH($B$2),1)-WEEKDAY(DATE(YEAR($B$2),MONTH($B$2),1),1)+1+570</f>
        <v/>
      </c>
      <c r="F86" s="25">
        <f>DATE(YEAR($B$2),MONTH($B$2),1)-WEEKDAY(DATE(YEAR($B$2),MONTH($B$2),1),1)+1+571</f>
        <v/>
      </c>
      <c r="G86" s="25">
        <f>DATE(YEAR($B$2),MONTH($B$2),1)-WEEKDAY(DATE(YEAR($B$2),MONTH($B$2),1),1)+1+572</f>
        <v/>
      </c>
      <c r="H86" s="25">
        <f>DATE(YEAR($B$2),MONTH($B$2),1)-WEEKDAY(DATE(YEAR($B$2),MONTH($B$2),1),1)+1+573</f>
        <v/>
      </c>
    </row>
    <row r="87">
      <c r="B87" s="25">
        <f>DATE(YEAR($B$2),MONTH($B$2),1)-WEEKDAY(DATE(YEAR($B$2),MONTH($B$2),1),1)+1+574</f>
        <v/>
      </c>
      <c r="C87" s="25">
        <f>DATE(YEAR($B$2),MONTH($B$2),1)-WEEKDAY(DATE(YEAR($B$2),MONTH($B$2),1),1)+1+575</f>
        <v/>
      </c>
      <c r="D87" s="25">
        <f>DATE(YEAR($B$2),MONTH($B$2),1)-WEEKDAY(DATE(YEAR($B$2),MONTH($B$2),1),1)+1+576</f>
        <v/>
      </c>
      <c r="E87" s="25">
        <f>DATE(YEAR($B$2),MONTH($B$2),1)-WEEKDAY(DATE(YEAR($B$2),MONTH($B$2),1),1)+1+577</f>
        <v/>
      </c>
      <c r="F87" s="25">
        <f>DATE(YEAR($B$2),MONTH($B$2),1)-WEEKDAY(DATE(YEAR($B$2),MONTH($B$2),1),1)+1+578</f>
        <v/>
      </c>
      <c r="G87" s="25">
        <f>DATE(YEAR($B$2),MONTH($B$2),1)-WEEKDAY(DATE(YEAR($B$2),MONTH($B$2),1),1)+1+579</f>
        <v/>
      </c>
      <c r="H87" s="25">
        <f>DATE(YEAR($B$2),MONTH($B$2),1)-WEEKDAY(DATE(YEAR($B$2),MONTH($B$2),1),1)+1+580</f>
        <v/>
      </c>
    </row>
    <row r="88">
      <c r="B88" s="25">
        <f>DATE(YEAR($B$2),MONTH($B$2),1)-WEEKDAY(DATE(YEAR($B$2),MONTH($B$2),1),1)+1+581</f>
        <v/>
      </c>
      <c r="C88" s="25">
        <f>DATE(YEAR($B$2),MONTH($B$2),1)-WEEKDAY(DATE(YEAR($B$2),MONTH($B$2),1),1)+1+582</f>
        <v/>
      </c>
      <c r="D88" s="25">
        <f>DATE(YEAR($B$2),MONTH($B$2),1)-WEEKDAY(DATE(YEAR($B$2),MONTH($B$2),1),1)+1+583</f>
        <v/>
      </c>
      <c r="E88" s="25">
        <f>DATE(YEAR($B$2),MONTH($B$2),1)-WEEKDAY(DATE(YEAR($B$2),MONTH($B$2),1),1)+1+584</f>
        <v/>
      </c>
      <c r="F88" s="25">
        <f>DATE(YEAR($B$2),MONTH($B$2),1)-WEEKDAY(DATE(YEAR($B$2),MONTH($B$2),1),1)+1+585</f>
        <v/>
      </c>
      <c r="G88" s="25">
        <f>DATE(YEAR($B$2),MONTH($B$2),1)-WEEKDAY(DATE(YEAR($B$2),MONTH($B$2),1),1)+1+586</f>
        <v/>
      </c>
      <c r="H88" s="25">
        <f>DATE(YEAR($B$2),MONTH($B$2),1)-WEEKDAY(DATE(YEAR($B$2),MONTH($B$2),1),1)+1+587</f>
        <v/>
      </c>
    </row>
    <row r="89">
      <c r="B89" s="25">
        <f>DATE(YEAR($B$2),MONTH($B$2),1)-WEEKDAY(DATE(YEAR($B$2),MONTH($B$2),1),1)+1+588</f>
        <v/>
      </c>
      <c r="C89" s="25">
        <f>DATE(YEAR($B$2),MONTH($B$2),1)-WEEKDAY(DATE(YEAR($B$2),MONTH($B$2),1),1)+1+589</f>
        <v/>
      </c>
      <c r="D89" s="25">
        <f>DATE(YEAR($B$2),MONTH($B$2),1)-WEEKDAY(DATE(YEAR($B$2),MONTH($B$2),1),1)+1+590</f>
        <v/>
      </c>
      <c r="E89" s="25">
        <f>DATE(YEAR($B$2),MONTH($B$2),1)-WEEKDAY(DATE(YEAR($B$2),MONTH($B$2),1),1)+1+591</f>
        <v/>
      </c>
      <c r="F89" s="25">
        <f>DATE(YEAR($B$2),MONTH($B$2),1)-WEEKDAY(DATE(YEAR($B$2),MONTH($B$2),1),1)+1+592</f>
        <v/>
      </c>
      <c r="G89" s="25">
        <f>DATE(YEAR($B$2),MONTH($B$2),1)-WEEKDAY(DATE(YEAR($B$2),MONTH($B$2),1),1)+1+593</f>
        <v/>
      </c>
      <c r="H89" s="25">
        <f>DATE(YEAR($B$2),MONTH($B$2),1)-WEEKDAY(DATE(YEAR($B$2),MONTH($B$2),1),1)+1+594</f>
        <v/>
      </c>
    </row>
    <row r="90">
      <c r="B90" s="25">
        <f>DATE(YEAR($B$2),MONTH($B$2),1)-WEEKDAY(DATE(YEAR($B$2),MONTH($B$2),1),1)+1+595</f>
        <v/>
      </c>
      <c r="C90" s="25">
        <f>DATE(YEAR($B$2),MONTH($B$2),1)-WEEKDAY(DATE(YEAR($B$2),MONTH($B$2),1),1)+1+596</f>
        <v/>
      </c>
      <c r="D90" s="25">
        <f>DATE(YEAR($B$2),MONTH($B$2),1)-WEEKDAY(DATE(YEAR($B$2),MONTH($B$2),1),1)+1+597</f>
        <v/>
      </c>
      <c r="E90" s="25">
        <f>DATE(YEAR($B$2),MONTH($B$2),1)-WEEKDAY(DATE(YEAR($B$2),MONTH($B$2),1),1)+1+598</f>
        <v/>
      </c>
      <c r="F90" s="25">
        <f>DATE(YEAR($B$2),MONTH($B$2),1)-WEEKDAY(DATE(YEAR($B$2),MONTH($B$2),1),1)+1+599</f>
        <v/>
      </c>
      <c r="G90" s="25">
        <f>DATE(YEAR($B$2),MONTH($B$2),1)-WEEKDAY(DATE(YEAR($B$2),MONTH($B$2),1),1)+1+600</f>
        <v/>
      </c>
      <c r="H90" s="25">
        <f>DATE(YEAR($B$2),MONTH($B$2),1)-WEEKDAY(DATE(YEAR($B$2),MONTH($B$2),1),1)+1+601</f>
        <v/>
      </c>
    </row>
    <row r="91">
      <c r="B91" s="25">
        <f>DATE(YEAR($B$2),MONTH($B$2),1)-WEEKDAY(DATE(YEAR($B$2),MONTH($B$2),1),1)+1+602</f>
        <v/>
      </c>
      <c r="C91" s="25">
        <f>DATE(YEAR($B$2),MONTH($B$2),1)-WEEKDAY(DATE(YEAR($B$2),MONTH($B$2),1),1)+1+603</f>
        <v/>
      </c>
      <c r="D91" s="25">
        <f>DATE(YEAR($B$2),MONTH($B$2),1)-WEEKDAY(DATE(YEAR($B$2),MONTH($B$2),1),1)+1+604</f>
        <v/>
      </c>
      <c r="E91" s="25">
        <f>DATE(YEAR($B$2),MONTH($B$2),1)-WEEKDAY(DATE(YEAR($B$2),MONTH($B$2),1),1)+1+605</f>
        <v/>
      </c>
      <c r="F91" s="25">
        <f>DATE(YEAR($B$2),MONTH($B$2),1)-WEEKDAY(DATE(YEAR($B$2),MONTH($B$2),1),1)+1+606</f>
        <v/>
      </c>
      <c r="G91" s="25">
        <f>DATE(YEAR($B$2),MONTH($B$2),1)-WEEKDAY(DATE(YEAR($B$2),MONTH($B$2),1),1)+1+607</f>
        <v/>
      </c>
      <c r="H91" s="25">
        <f>DATE(YEAR($B$2),MONTH($B$2),1)-WEEKDAY(DATE(YEAR($B$2),MONTH($B$2),1),1)+1+608</f>
        <v/>
      </c>
    </row>
    <row r="92">
      <c r="B92" s="25">
        <f>DATE(YEAR($B$2),MONTH($B$2),1)-WEEKDAY(DATE(YEAR($B$2),MONTH($B$2),1),1)+1+609</f>
        <v/>
      </c>
      <c r="C92" s="25">
        <f>DATE(YEAR($B$2),MONTH($B$2),1)-WEEKDAY(DATE(YEAR($B$2),MONTH($B$2),1),1)+1+610</f>
        <v/>
      </c>
      <c r="D92" s="25">
        <f>DATE(YEAR($B$2),MONTH($B$2),1)-WEEKDAY(DATE(YEAR($B$2),MONTH($B$2),1),1)+1+611</f>
        <v/>
      </c>
      <c r="E92" s="25">
        <f>DATE(YEAR($B$2),MONTH($B$2),1)-WEEKDAY(DATE(YEAR($B$2),MONTH($B$2),1),1)+1+612</f>
        <v/>
      </c>
      <c r="F92" s="25">
        <f>DATE(YEAR($B$2),MONTH($B$2),1)-WEEKDAY(DATE(YEAR($B$2),MONTH($B$2),1),1)+1+613</f>
        <v/>
      </c>
      <c r="G92" s="25">
        <f>DATE(YEAR($B$2),MONTH($B$2),1)-WEEKDAY(DATE(YEAR($B$2),MONTH($B$2),1),1)+1+614</f>
        <v/>
      </c>
      <c r="H92" s="25">
        <f>DATE(YEAR($B$2),MONTH($B$2),1)-WEEKDAY(DATE(YEAR($B$2),MONTH($B$2),1),1)+1+615</f>
        <v/>
      </c>
    </row>
    <row r="93">
      <c r="B93" s="25">
        <f>DATE(YEAR($B$2),MONTH($B$2),1)-WEEKDAY(DATE(YEAR($B$2),MONTH($B$2),1),1)+1+616</f>
        <v/>
      </c>
      <c r="C93" s="25">
        <f>DATE(YEAR($B$2),MONTH($B$2),1)-WEEKDAY(DATE(YEAR($B$2),MONTH($B$2),1),1)+1+617</f>
        <v/>
      </c>
      <c r="D93" s="25">
        <f>DATE(YEAR($B$2),MONTH($B$2),1)-WEEKDAY(DATE(YEAR($B$2),MONTH($B$2),1),1)+1+618</f>
        <v/>
      </c>
      <c r="E93" s="25">
        <f>DATE(YEAR($B$2),MONTH($B$2),1)-WEEKDAY(DATE(YEAR($B$2),MONTH($B$2),1),1)+1+619</f>
        <v/>
      </c>
      <c r="F93" s="25">
        <f>DATE(YEAR($B$2),MONTH($B$2),1)-WEEKDAY(DATE(YEAR($B$2),MONTH($B$2),1),1)+1+620</f>
        <v/>
      </c>
      <c r="G93" s="25">
        <f>DATE(YEAR($B$2),MONTH($B$2),1)-WEEKDAY(DATE(YEAR($B$2),MONTH($B$2),1),1)+1+621</f>
        <v/>
      </c>
      <c r="H93" s="25">
        <f>DATE(YEAR($B$2),MONTH($B$2),1)-WEEKDAY(DATE(YEAR($B$2),MONTH($B$2),1),1)+1+622</f>
        <v/>
      </c>
    </row>
    <row r="94">
      <c r="B94" s="25">
        <f>DATE(YEAR($B$2),MONTH($B$2),1)-WEEKDAY(DATE(YEAR($B$2),MONTH($B$2),1),1)+1+623</f>
        <v/>
      </c>
      <c r="C94" s="25">
        <f>DATE(YEAR($B$2),MONTH($B$2),1)-WEEKDAY(DATE(YEAR($B$2),MONTH($B$2),1),1)+1+624</f>
        <v/>
      </c>
      <c r="D94" s="25">
        <f>DATE(YEAR($B$2),MONTH($B$2),1)-WEEKDAY(DATE(YEAR($B$2),MONTH($B$2),1),1)+1+625</f>
        <v/>
      </c>
      <c r="E94" s="25">
        <f>DATE(YEAR($B$2),MONTH($B$2),1)-WEEKDAY(DATE(YEAR($B$2),MONTH($B$2),1),1)+1+626</f>
        <v/>
      </c>
      <c r="F94" s="25">
        <f>DATE(YEAR($B$2),MONTH($B$2),1)-WEEKDAY(DATE(YEAR($B$2),MONTH($B$2),1),1)+1+627</f>
        <v/>
      </c>
      <c r="G94" s="25">
        <f>DATE(YEAR($B$2),MONTH($B$2),1)-WEEKDAY(DATE(YEAR($B$2),MONTH($B$2),1),1)+1+628</f>
        <v/>
      </c>
      <c r="H94" s="25">
        <f>DATE(YEAR($B$2),MONTH($B$2),1)-WEEKDAY(DATE(YEAR($B$2),MONTH($B$2),1),1)+1+629</f>
        <v/>
      </c>
    </row>
    <row r="95">
      <c r="B95" s="25">
        <f>DATE(YEAR($B$2),MONTH($B$2),1)-WEEKDAY(DATE(YEAR($B$2),MONTH($B$2),1),1)+1+630</f>
        <v/>
      </c>
      <c r="C95" s="25">
        <f>DATE(YEAR($B$2),MONTH($B$2),1)-WEEKDAY(DATE(YEAR($B$2),MONTH($B$2),1),1)+1+631</f>
        <v/>
      </c>
      <c r="D95" s="25">
        <f>DATE(YEAR($B$2),MONTH($B$2),1)-WEEKDAY(DATE(YEAR($B$2),MONTH($B$2),1),1)+1+632</f>
        <v/>
      </c>
      <c r="E95" s="25">
        <f>DATE(YEAR($B$2),MONTH($B$2),1)-WEEKDAY(DATE(YEAR($B$2),MONTH($B$2),1),1)+1+633</f>
        <v/>
      </c>
      <c r="F95" s="25">
        <f>DATE(YEAR($B$2),MONTH($B$2),1)-WEEKDAY(DATE(YEAR($B$2),MONTH($B$2),1),1)+1+634</f>
        <v/>
      </c>
      <c r="G95" s="25">
        <f>DATE(YEAR($B$2),MONTH($B$2),1)-WEEKDAY(DATE(YEAR($B$2),MONTH($B$2),1),1)+1+635</f>
        <v/>
      </c>
      <c r="H95" s="25">
        <f>DATE(YEAR($B$2),MONTH($B$2),1)-WEEKDAY(DATE(YEAR($B$2),MONTH($B$2),1),1)+1+636</f>
        <v/>
      </c>
    </row>
    <row r="96">
      <c r="B96" s="25">
        <f>DATE(YEAR($B$2),MONTH($B$2),1)-WEEKDAY(DATE(YEAR($B$2),MONTH($B$2),1),1)+1+637</f>
        <v/>
      </c>
      <c r="C96" s="25">
        <f>DATE(YEAR($B$2),MONTH($B$2),1)-WEEKDAY(DATE(YEAR($B$2),MONTH($B$2),1),1)+1+638</f>
        <v/>
      </c>
      <c r="D96" s="25">
        <f>DATE(YEAR($B$2),MONTH($B$2),1)-WEEKDAY(DATE(YEAR($B$2),MONTH($B$2),1),1)+1+639</f>
        <v/>
      </c>
      <c r="E96" s="25">
        <f>DATE(YEAR($B$2),MONTH($B$2),1)-WEEKDAY(DATE(YEAR($B$2),MONTH($B$2),1),1)+1+640</f>
        <v/>
      </c>
      <c r="F96" s="25">
        <f>DATE(YEAR($B$2),MONTH($B$2),1)-WEEKDAY(DATE(YEAR($B$2),MONTH($B$2),1),1)+1+641</f>
        <v/>
      </c>
      <c r="G96" s="25">
        <f>DATE(YEAR($B$2),MONTH($B$2),1)-WEEKDAY(DATE(YEAR($B$2),MONTH($B$2),1),1)+1+642</f>
        <v/>
      </c>
      <c r="H96" s="25">
        <f>DATE(YEAR($B$2),MONTH($B$2),1)-WEEKDAY(DATE(YEAR($B$2),MONTH($B$2),1),1)+1+643</f>
        <v/>
      </c>
    </row>
    <row r="97">
      <c r="B97" s="25">
        <f>DATE(YEAR($B$2),MONTH($B$2),1)-WEEKDAY(DATE(YEAR($B$2),MONTH($B$2),1),1)+1+644</f>
        <v/>
      </c>
      <c r="C97" s="25">
        <f>DATE(YEAR($B$2),MONTH($B$2),1)-WEEKDAY(DATE(YEAR($B$2),MONTH($B$2),1),1)+1+645</f>
        <v/>
      </c>
      <c r="D97" s="25">
        <f>DATE(YEAR($B$2),MONTH($B$2),1)-WEEKDAY(DATE(YEAR($B$2),MONTH($B$2),1),1)+1+646</f>
        <v/>
      </c>
      <c r="E97" s="25">
        <f>DATE(YEAR($B$2),MONTH($B$2),1)-WEEKDAY(DATE(YEAR($B$2),MONTH($B$2),1),1)+1+647</f>
        <v/>
      </c>
      <c r="F97" s="25">
        <f>DATE(YEAR($B$2),MONTH($B$2),1)-WEEKDAY(DATE(YEAR($B$2),MONTH($B$2),1),1)+1+648</f>
        <v/>
      </c>
      <c r="G97" s="25">
        <f>DATE(YEAR($B$2),MONTH($B$2),1)-WEEKDAY(DATE(YEAR($B$2),MONTH($B$2),1),1)+1+649</f>
        <v/>
      </c>
      <c r="H97" s="25">
        <f>DATE(YEAR($B$2),MONTH($B$2),1)-WEEKDAY(DATE(YEAR($B$2),MONTH($B$2),1),1)+1+650</f>
        <v/>
      </c>
    </row>
    <row r="98">
      <c r="B98" s="25">
        <f>DATE(YEAR($B$2),MONTH($B$2),1)-WEEKDAY(DATE(YEAR($B$2),MONTH($B$2),1),1)+1+651</f>
        <v/>
      </c>
      <c r="C98" s="25">
        <f>DATE(YEAR($B$2),MONTH($B$2),1)-WEEKDAY(DATE(YEAR($B$2),MONTH($B$2),1),1)+1+652</f>
        <v/>
      </c>
      <c r="D98" s="25">
        <f>DATE(YEAR($B$2),MONTH($B$2),1)-WEEKDAY(DATE(YEAR($B$2),MONTH($B$2),1),1)+1+653</f>
        <v/>
      </c>
      <c r="E98" s="25">
        <f>DATE(YEAR($B$2),MONTH($B$2),1)-WEEKDAY(DATE(YEAR($B$2),MONTH($B$2),1),1)+1+654</f>
        <v/>
      </c>
      <c r="F98" s="25">
        <f>DATE(YEAR($B$2),MONTH($B$2),1)-WEEKDAY(DATE(YEAR($B$2),MONTH($B$2),1),1)+1+655</f>
        <v/>
      </c>
      <c r="G98" s="25">
        <f>DATE(YEAR($B$2),MONTH($B$2),1)-WEEKDAY(DATE(YEAR($B$2),MONTH($B$2),1),1)+1+656</f>
        <v/>
      </c>
      <c r="H98" s="25">
        <f>DATE(YEAR($B$2),MONTH($B$2),1)-WEEKDAY(DATE(YEAR($B$2),MONTH($B$2),1),1)+1+657</f>
        <v/>
      </c>
    </row>
    <row r="99">
      <c r="B99" s="25">
        <f>DATE(YEAR($B$2),MONTH($B$2),1)-WEEKDAY(DATE(YEAR($B$2),MONTH($B$2),1),1)+1+658</f>
        <v/>
      </c>
      <c r="C99" s="25">
        <f>DATE(YEAR($B$2),MONTH($B$2),1)-WEEKDAY(DATE(YEAR($B$2),MONTH($B$2),1),1)+1+659</f>
        <v/>
      </c>
      <c r="D99" s="25">
        <f>DATE(YEAR($B$2),MONTH($B$2),1)-WEEKDAY(DATE(YEAR($B$2),MONTH($B$2),1),1)+1+660</f>
        <v/>
      </c>
      <c r="E99" s="25">
        <f>DATE(YEAR($B$2),MONTH($B$2),1)-WEEKDAY(DATE(YEAR($B$2),MONTH($B$2),1),1)+1+661</f>
        <v/>
      </c>
      <c r="F99" s="25">
        <f>DATE(YEAR($B$2),MONTH($B$2),1)-WEEKDAY(DATE(YEAR($B$2),MONTH($B$2),1),1)+1+662</f>
        <v/>
      </c>
      <c r="G99" s="25">
        <f>DATE(YEAR($B$2),MONTH($B$2),1)-WEEKDAY(DATE(YEAR($B$2),MONTH($B$2),1),1)+1+663</f>
        <v/>
      </c>
      <c r="H99" s="25">
        <f>DATE(YEAR($B$2),MONTH($B$2),1)-WEEKDAY(DATE(YEAR($B$2),MONTH($B$2),1),1)+1+664</f>
        <v/>
      </c>
    </row>
    <row r="100">
      <c r="B100" s="25">
        <f>DATE(YEAR($B$2),MONTH($B$2),1)-WEEKDAY(DATE(YEAR($B$2),MONTH($B$2),1),1)+1+665</f>
        <v/>
      </c>
      <c r="C100" s="25">
        <f>DATE(YEAR($B$2),MONTH($B$2),1)-WEEKDAY(DATE(YEAR($B$2),MONTH($B$2),1),1)+1+666</f>
        <v/>
      </c>
      <c r="D100" s="25">
        <f>DATE(YEAR($B$2),MONTH($B$2),1)-WEEKDAY(DATE(YEAR($B$2),MONTH($B$2),1),1)+1+667</f>
        <v/>
      </c>
      <c r="E100" s="25">
        <f>DATE(YEAR($B$2),MONTH($B$2),1)-WEEKDAY(DATE(YEAR($B$2),MONTH($B$2),1),1)+1+668</f>
        <v/>
      </c>
      <c r="F100" s="25">
        <f>DATE(YEAR($B$2),MONTH($B$2),1)-WEEKDAY(DATE(YEAR($B$2),MONTH($B$2),1),1)+1+669</f>
        <v/>
      </c>
      <c r="G100" s="25">
        <f>DATE(YEAR($B$2),MONTH($B$2),1)-WEEKDAY(DATE(YEAR($B$2),MONTH($B$2),1),1)+1+670</f>
        <v/>
      </c>
      <c r="H100" s="25">
        <f>DATE(YEAR($B$2),MONTH($B$2),1)-WEEKDAY(DATE(YEAR($B$2),MONTH($B$2),1),1)+1+671</f>
        <v/>
      </c>
    </row>
    <row r="101">
      <c r="B101" s="25">
        <f>DATE(YEAR($B$2),MONTH($B$2),1)-WEEKDAY(DATE(YEAR($B$2),MONTH($B$2),1),1)+1+672</f>
        <v/>
      </c>
      <c r="C101" s="25">
        <f>DATE(YEAR($B$2),MONTH($B$2),1)-WEEKDAY(DATE(YEAR($B$2),MONTH($B$2),1),1)+1+673</f>
        <v/>
      </c>
      <c r="D101" s="25">
        <f>DATE(YEAR($B$2),MONTH($B$2),1)-WEEKDAY(DATE(YEAR($B$2),MONTH($B$2),1),1)+1+674</f>
        <v/>
      </c>
      <c r="E101" s="25">
        <f>DATE(YEAR($B$2),MONTH($B$2),1)-WEEKDAY(DATE(YEAR($B$2),MONTH($B$2),1),1)+1+675</f>
        <v/>
      </c>
      <c r="F101" s="25">
        <f>DATE(YEAR($B$2),MONTH($B$2),1)-WEEKDAY(DATE(YEAR($B$2),MONTH($B$2),1),1)+1+676</f>
        <v/>
      </c>
      <c r="G101" s="25">
        <f>DATE(YEAR($B$2),MONTH($B$2),1)-WEEKDAY(DATE(YEAR($B$2),MONTH($B$2),1),1)+1+677</f>
        <v/>
      </c>
      <c r="H101" s="25">
        <f>DATE(YEAR($B$2),MONTH($B$2),1)-WEEKDAY(DATE(YEAR($B$2),MONTH($B$2),1),1)+1+678</f>
        <v/>
      </c>
    </row>
  </sheetData>
  <mergeCells count="1">
    <mergeCell ref="A1:H1"/>
  </mergeCells>
  <conditionalFormatting sqref="B5:H101">
    <cfRule type="expression" priority="1" dxfId="3" stopIfTrue="1">
      <formula>MONTH(B5)&lt;&gt;MONTH($B$2)</formula>
    </cfRule>
    <cfRule type="expression" priority="2" dxfId="4" stopIfTrue="1">
      <formula>B5=Dashboard!$B$4</formula>
    </cfRule>
    <cfRule type="expression" priority="3" dxfId="5">
      <formula>COUNTIFS('Calendar Events'!$D$6:$D$205,"&lt;="&amp;B5,'Calendar Events'!$E$6:$E$205,"&gt;="&amp;B5,'Calendar Events'!$K$6:$K$205,"&lt;&gt;Cancelled")&gt;0</formula>
    </cfRule>
  </conditionalFormatting>
  <dataValidations count="1">
    <dataValidation sqref="B2" showDropDown="0" showInputMessage="0" showErrorMessage="0" allowBlank="0" type="date" operator="between">
      <formula1>DATE(2020,1,1)</formula1>
      <formula2>DATE(2035,12,31)</formula2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P20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8"/>
  <cols>
    <col width="13" customWidth="1" min="1" max="1"/>
    <col width="15" customWidth="1" min="2" max="2"/>
    <col width="15" customWidth="1" min="3" max="3"/>
    <col width="13" customWidth="1" min="4" max="4"/>
    <col width="13" customWidth="1" min="5" max="5"/>
    <col width="32" customWidth="1" min="6" max="6"/>
    <col width="18" customWidth="1" min="7" max="7"/>
    <col width="18" customWidth="1" min="8" max="8"/>
    <col width="18" customWidth="1" min="9" max="9"/>
    <col width="20" customWidth="1" min="10" max="10"/>
    <col width="13" customWidth="1" min="11" max="11"/>
    <col width="36" customWidth="1" min="12" max="12"/>
    <col width="15" customWidth="1" min="13" max="13"/>
    <col width="16" customWidth="1" min="14" max="14"/>
    <col width="17" customWidth="1" min="15" max="15"/>
    <col width="26" customWidth="1" min="16" max="16"/>
  </cols>
  <sheetData>
    <row r="1" ht="26" customHeight="1">
      <c r="A1" s="1" t="inlineStr">
        <is>
          <t>Academic Calendar Events</t>
        </is>
      </c>
    </row>
    <row r="2">
      <c r="A2" s="15" t="inlineStr">
        <is>
          <t>Enter one row per event. Blue cells are editable; gray cells are calculated.</t>
        </is>
      </c>
    </row>
    <row r="5">
      <c r="A5" s="9" t="inlineStr">
        <is>
          <t>Event ID</t>
        </is>
      </c>
      <c r="B5" s="9" t="inlineStr">
        <is>
          <t>Academic Year</t>
        </is>
      </c>
      <c r="C5" s="9" t="inlineStr">
        <is>
          <t>Term</t>
        </is>
      </c>
      <c r="D5" s="9" t="inlineStr">
        <is>
          <t>Start Date</t>
        </is>
      </c>
      <c r="E5" s="9" t="inlineStr">
        <is>
          <t>End Date</t>
        </is>
      </c>
      <c r="F5" s="9" t="inlineStr">
        <is>
          <t>Event Name</t>
        </is>
      </c>
      <c r="G5" s="9" t="inlineStr">
        <is>
          <t>Category</t>
        </is>
      </c>
      <c r="H5" s="9" t="inlineStr">
        <is>
          <t>Campus Status</t>
        </is>
      </c>
      <c r="I5" s="9" t="inlineStr">
        <is>
          <t>Audience</t>
        </is>
      </c>
      <c r="J5" s="9" t="inlineStr">
        <is>
          <t>Owner</t>
        </is>
      </c>
      <c r="K5" s="9" t="inlineStr">
        <is>
          <t>Status</t>
        </is>
      </c>
      <c r="L5" s="9" t="inlineStr">
        <is>
          <t>Notes</t>
        </is>
      </c>
      <c r="M5" s="9" t="inlineStr">
        <is>
          <t>Duration (Days)</t>
        </is>
      </c>
      <c r="N5" s="9" t="inlineStr">
        <is>
          <t>Outside Term?</t>
        </is>
      </c>
      <c r="O5" s="9" t="inlineStr">
        <is>
          <t>Owner Conflict?</t>
        </is>
      </c>
      <c r="P5" s="9" t="inlineStr">
        <is>
          <t>Review Alert</t>
        </is>
      </c>
    </row>
    <row r="6">
      <c r="A6" s="16" t="inlineStr">
        <is>
          <t>EVT-2026-001</t>
        </is>
      </c>
      <c r="B6" s="16" t="inlineStr">
        <is>
          <t>2026-2027</t>
        </is>
      </c>
      <c r="C6" s="16" t="inlineStr">
        <is>
          <t>Fall Term</t>
        </is>
      </c>
      <c r="D6" s="26" t="n">
        <v>46254</v>
      </c>
      <c r="E6" s="26" t="n">
        <v>46255</v>
      </c>
      <c r="F6" s="16" t="inlineStr">
        <is>
          <t>Faculty Planning Retreat</t>
        </is>
      </c>
      <c r="G6" s="16" t="inlineStr">
        <is>
          <t>Faculty Activity</t>
        </is>
      </c>
      <c r="H6" s="16" t="inlineStr">
        <is>
          <t>Open</t>
        </is>
      </c>
      <c r="I6" s="16" t="inlineStr">
        <is>
          <t>Faculty</t>
        </is>
      </c>
      <c r="J6" s="16" t="inlineStr">
        <is>
          <t>Academic Affairs Team</t>
        </is>
      </c>
      <c r="K6" s="16" t="inlineStr">
        <is>
          <t>Completed</t>
        </is>
      </c>
      <c r="L6" s="16" t="inlineStr">
        <is>
          <t>Planning sessions before fall classes begin.</t>
        </is>
      </c>
      <c r="M6" s="18">
        <f>IF(OR(D6="",E6=""),"",IF(E6&lt;D6,"",E6-D6+1))</f>
        <v/>
      </c>
      <c r="N6" s="18">
        <f>IF(OR(B6="",C6="",D6="",E6=""),"",IF(COUNTIFS('Academic Terms'!$A$6:$A$101,B6,'Academic Terms'!$B$6:$B$101,C6)&lt;&gt;1,"Term not found",IF(OR(D6&lt;SUMIFS('Academic Terms'!$C$6:$C$101,'Academic Terms'!$A$6:$A$101,B6,'Academic Terms'!$B$6:$B$101,C6),E6&gt;SUMIFS('Academic Terms'!$D$6:$D$101,'Academic Terms'!$A$6:$A$101,B6,'Academic Terms'!$B$6:$B$101,C6)),"Yes","No")))</f>
        <v/>
      </c>
      <c r="O6" s="18">
        <f>IF(OR(A6="",B6="",D6="",E6="",J6="",K6="Cancelled"),"",IF(SUMPRODUCT(--($A$6:$A$205&lt;&gt;A6),--($B$6:$B$205=B6),--($J$6:$J$205=J6),--($D$6:$D$205&lt;=E6),--($E$6:$E$205&gt;=D6),--($K$6:$K$205&lt;&gt;"Cancelled"))&gt;0,"Yes","No"))</f>
        <v/>
      </c>
      <c r="P6" s="18">
        <f>IF(COUNTA(A6:L6)=0,"",IF(OR(A6="",B6="",C6="",D6="",E6="",F6="",G6="",K6=""),"Missing required fields",IF(COUNTIF($A$6:$A$205,A6)&gt;1,"Duplicate Event ID",IF(E6&lt;D6,"End date before start date",IF(N6="Term not found","Term not found",IF(N6="Yes","Outside term",IF(O6="Yes","Owner conflict",IF(AND(E6&lt;Dashboard!$B$4,K6&lt;&gt;"Completed",K6&lt;&gt;"Cancelled"),"Past event not completed",""))))))))</f>
        <v/>
      </c>
    </row>
    <row r="7">
      <c r="A7" s="16" t="inlineStr">
        <is>
          <t>EVT-2026-002</t>
        </is>
      </c>
      <c r="B7" s="16" t="inlineStr">
        <is>
          <t>2026-2027</t>
        </is>
      </c>
      <c r="C7" s="16" t="inlineStr">
        <is>
          <t>Fall Term</t>
        </is>
      </c>
      <c r="D7" s="26" t="n">
        <v>46258</v>
      </c>
      <c r="E7" s="26" t="n">
        <v>46258</v>
      </c>
      <c r="F7" s="16" t="inlineStr">
        <is>
          <t>Fall Classes Begin</t>
        </is>
      </c>
      <c r="G7" s="16" t="inlineStr">
        <is>
          <t>Instruction</t>
        </is>
      </c>
      <c r="H7" s="16" t="inlineStr">
        <is>
          <t>Open</t>
        </is>
      </c>
      <c r="I7" s="16" t="inlineStr">
        <is>
          <t>All Learners</t>
        </is>
      </c>
      <c r="J7" s="16" t="inlineStr">
        <is>
          <t>Registrar Team</t>
        </is>
      </c>
      <c r="K7" s="16" t="inlineStr">
        <is>
          <t>Completed</t>
        </is>
      </c>
      <c r="L7" s="16" t="inlineStr">
        <is>
          <t>First instructional day of the fall term.</t>
        </is>
      </c>
      <c r="M7" s="18">
        <f>IF(OR(D7="",E7=""),"",IF(E7&lt;D7,"",E7-D7+1))</f>
        <v/>
      </c>
      <c r="N7" s="18">
        <f>IF(OR(B7="",C7="",D7="",E7=""),"",IF(COUNTIFS('Academic Terms'!$A$6:$A$101,B7,'Academic Terms'!$B$6:$B$101,C7)&lt;&gt;1,"Term not found",IF(OR(D7&lt;SUMIFS('Academic Terms'!$C$6:$C$101,'Academic Terms'!$A$6:$A$101,B7,'Academic Terms'!$B$6:$B$101,C7),E7&gt;SUMIFS('Academic Terms'!$D$6:$D$101,'Academic Terms'!$A$6:$A$101,B7,'Academic Terms'!$B$6:$B$101,C7)),"Yes","No")))</f>
        <v/>
      </c>
      <c r="O7" s="18">
        <f>IF(OR(A7="",B7="",D7="",E7="",J7="",K7="Cancelled"),"",IF(SUMPRODUCT(--($A$6:$A$205&lt;&gt;A7),--($B$6:$B$205=B7),--($J$6:$J$205=J7),--($D$6:$D$205&lt;=E7),--($E$6:$E$205&gt;=D7),--($K$6:$K$205&lt;&gt;"Cancelled"))&gt;0,"Yes","No"))</f>
        <v/>
      </c>
      <c r="P7" s="18">
        <f>IF(COUNTA(A7:L7)=0,"",IF(OR(A7="",B7="",C7="",D7="",E7="",F7="",G7="",K7=""),"Missing required fields",IF(COUNTIF($A$6:$A$205,A7)&gt;1,"Duplicate Event ID",IF(E7&lt;D7,"End date before start date",IF(N7="Term not found","Term not found",IF(N7="Yes","Outside term",IF(O7="Yes","Owner conflict",IF(AND(E7&lt;Dashboard!$B$4,K7&lt;&gt;"Completed",K7&lt;&gt;"Cancelled"),"Past event not completed",""))))))))</f>
        <v/>
      </c>
    </row>
    <row r="8">
      <c r="A8" s="16" t="inlineStr">
        <is>
          <t>EVT-2026-003</t>
        </is>
      </c>
      <c r="B8" s="16" t="inlineStr">
        <is>
          <t>2026-2027</t>
        </is>
      </c>
      <c r="C8" s="16" t="inlineStr">
        <is>
          <t>Fall Term</t>
        </is>
      </c>
      <c r="D8" s="26" t="n">
        <v>46269</v>
      </c>
      <c r="E8" s="26" t="n">
        <v>46269</v>
      </c>
      <c r="F8" s="16" t="inlineStr">
        <is>
          <t>Fall Add and Drop Deadline</t>
        </is>
      </c>
      <c r="G8" s="16" t="inlineStr">
        <is>
          <t>Deadline</t>
        </is>
      </c>
      <c r="H8" s="16" t="inlineStr">
        <is>
          <t>Open</t>
        </is>
      </c>
      <c r="I8" s="16" t="inlineStr">
        <is>
          <t>All Learners</t>
        </is>
      </c>
      <c r="J8" s="16" t="inlineStr">
        <is>
          <t>Registrar Team</t>
        </is>
      </c>
      <c r="K8" s="16" t="inlineStr">
        <is>
          <t>Completed</t>
        </is>
      </c>
      <c r="L8" s="16" t="inlineStr">
        <is>
          <t>Schedule changes close at the end of the day.</t>
        </is>
      </c>
      <c r="M8" s="18">
        <f>IF(OR(D8="",E8=""),"",IF(E8&lt;D8,"",E8-D8+1))</f>
        <v/>
      </c>
      <c r="N8" s="18">
        <f>IF(OR(B8="",C8="",D8="",E8=""),"",IF(COUNTIFS('Academic Terms'!$A$6:$A$101,B8,'Academic Terms'!$B$6:$B$101,C8)&lt;&gt;1,"Term not found",IF(OR(D8&lt;SUMIFS('Academic Terms'!$C$6:$C$101,'Academic Terms'!$A$6:$A$101,B8,'Academic Terms'!$B$6:$B$101,C8),E8&gt;SUMIFS('Academic Terms'!$D$6:$D$101,'Academic Terms'!$A$6:$A$101,B8,'Academic Terms'!$B$6:$B$101,C8)),"Yes","No")))</f>
        <v/>
      </c>
      <c r="O8" s="18">
        <f>IF(OR(A8="",B8="",D8="",E8="",J8="",K8="Cancelled"),"",IF(SUMPRODUCT(--($A$6:$A$205&lt;&gt;A8),--($B$6:$B$205=B8),--($J$6:$J$205=J8),--($D$6:$D$205&lt;=E8),--($E$6:$E$205&gt;=D8),--($K$6:$K$205&lt;&gt;"Cancelled"))&gt;0,"Yes","No"))</f>
        <v/>
      </c>
      <c r="P8" s="18">
        <f>IF(COUNTA(A8:L8)=0,"",IF(OR(A8="",B8="",C8="",D8="",E8="",F8="",G8="",K8=""),"Missing required fields",IF(COUNTIF($A$6:$A$205,A8)&gt;1,"Duplicate Event ID",IF(E8&lt;D8,"End date before start date",IF(N8="Term not found","Term not found",IF(N8="Yes","Outside term",IF(O8="Yes","Owner conflict",IF(AND(E8&lt;Dashboard!$B$4,K8&lt;&gt;"Completed",K8&lt;&gt;"Cancelled"),"Past event not completed",""))))))))</f>
        <v/>
      </c>
    </row>
    <row r="9">
      <c r="A9" s="16" t="inlineStr">
        <is>
          <t>EVT-2026-004</t>
        </is>
      </c>
      <c r="B9" s="16" t="inlineStr">
        <is>
          <t>2026-2027</t>
        </is>
      </c>
      <c r="C9" s="16" t="inlineStr">
        <is>
          <t>Fall Term</t>
        </is>
      </c>
      <c r="D9" s="26" t="n">
        <v>46275</v>
      </c>
      <c r="E9" s="26" t="n">
        <v>46275</v>
      </c>
      <c r="F9" s="16" t="inlineStr">
        <is>
          <t>Learner Success Workshop</t>
        </is>
      </c>
      <c r="G9" s="16" t="inlineStr">
        <is>
          <t>Student Support</t>
        </is>
      </c>
      <c r="H9" s="16" t="inlineStr">
        <is>
          <t>Open</t>
        </is>
      </c>
      <c r="I9" s="16" t="inlineStr">
        <is>
          <t>All Learners</t>
        </is>
      </c>
      <c r="J9" s="16" t="inlineStr">
        <is>
          <t>Learner Services Team</t>
        </is>
      </c>
      <c r="K9" s="16" t="inlineStr">
        <is>
          <t>Confirmed</t>
        </is>
      </c>
      <c r="L9" s="16" t="inlineStr">
        <is>
          <t>Time-management and study-planning workshop.</t>
        </is>
      </c>
      <c r="M9" s="18">
        <f>IF(OR(D9="",E9=""),"",IF(E9&lt;D9,"",E9-D9+1))</f>
        <v/>
      </c>
      <c r="N9" s="18">
        <f>IF(OR(B9="",C9="",D9="",E9=""),"",IF(COUNTIFS('Academic Terms'!$A$6:$A$101,B9,'Academic Terms'!$B$6:$B$101,C9)&lt;&gt;1,"Term not found",IF(OR(D9&lt;SUMIFS('Academic Terms'!$C$6:$C$101,'Academic Terms'!$A$6:$A$101,B9,'Academic Terms'!$B$6:$B$101,C9),E9&gt;SUMIFS('Academic Terms'!$D$6:$D$101,'Academic Terms'!$A$6:$A$101,B9,'Academic Terms'!$B$6:$B$101,C9)),"Yes","No")))</f>
        <v/>
      </c>
      <c r="O9" s="18">
        <f>IF(OR(A9="",B9="",D9="",E9="",J9="",K9="Cancelled"),"",IF(SUMPRODUCT(--($A$6:$A$205&lt;&gt;A9),--($B$6:$B$205=B9),--($J$6:$J$205=J9),--($D$6:$D$205&lt;=E9),--($E$6:$E$205&gt;=D9),--($K$6:$K$205&lt;&gt;"Cancelled"))&gt;0,"Yes","No"))</f>
        <v/>
      </c>
      <c r="P9" s="18">
        <f>IF(COUNTA(A9:L9)=0,"",IF(OR(A9="",B9="",C9="",D9="",E9="",F9="",G9="",K9=""),"Missing required fields",IF(COUNTIF($A$6:$A$205,A9)&gt;1,"Duplicate Event ID",IF(E9&lt;D9,"End date before start date",IF(N9="Term not found","Term not found",IF(N9="Yes","Outside term",IF(O9="Yes","Owner conflict",IF(AND(E9&lt;Dashboard!$B$4,K9&lt;&gt;"Completed",K9&lt;&gt;"Cancelled"),"Past event not completed",""))))))))</f>
        <v/>
      </c>
    </row>
    <row r="10">
      <c r="A10" s="16" t="inlineStr">
        <is>
          <t>EVT-2026-005</t>
        </is>
      </c>
      <c r="B10" s="16" t="inlineStr">
        <is>
          <t>2026-2027</t>
        </is>
      </c>
      <c r="C10" s="16" t="inlineStr">
        <is>
          <t>Fall Term</t>
        </is>
      </c>
      <c r="D10" s="26" t="n">
        <v>46307</v>
      </c>
      <c r="E10" s="26" t="n">
        <v>46311</v>
      </c>
      <c r="F10" s="16" t="inlineStr">
        <is>
          <t>Fall Midterm Assessments</t>
        </is>
      </c>
      <c r="G10" s="16" t="inlineStr">
        <is>
          <t>Assessment</t>
        </is>
      </c>
      <c r="H10" s="16" t="inlineStr">
        <is>
          <t>Open</t>
        </is>
      </c>
      <c r="I10" s="16" t="inlineStr">
        <is>
          <t>All Learners</t>
        </is>
      </c>
      <c r="J10" s="16" t="inlineStr">
        <is>
          <t>Assessment Team</t>
        </is>
      </c>
      <c r="K10" s="16" t="inlineStr">
        <is>
          <t>Confirmed</t>
        </is>
      </c>
      <c r="L10" s="16" t="inlineStr">
        <is>
          <t>Program areas schedule assessments during this period.</t>
        </is>
      </c>
      <c r="M10" s="18">
        <f>IF(OR(D10="",E10=""),"",IF(E10&lt;D10,"",E10-D10+1))</f>
        <v/>
      </c>
      <c r="N10" s="18">
        <f>IF(OR(B10="",C10="",D10="",E10=""),"",IF(COUNTIFS('Academic Terms'!$A$6:$A$101,B10,'Academic Terms'!$B$6:$B$101,C10)&lt;&gt;1,"Term not found",IF(OR(D10&lt;SUMIFS('Academic Terms'!$C$6:$C$101,'Academic Terms'!$A$6:$A$101,B10,'Academic Terms'!$B$6:$B$101,C10),E10&gt;SUMIFS('Academic Terms'!$D$6:$D$101,'Academic Terms'!$A$6:$A$101,B10,'Academic Terms'!$B$6:$B$101,C10)),"Yes","No")))</f>
        <v/>
      </c>
      <c r="O10" s="18">
        <f>IF(OR(A10="",B10="",D10="",E10="",J10="",K10="Cancelled"),"",IF(SUMPRODUCT(--($A$6:$A$205&lt;&gt;A10),--($B$6:$B$205=B10),--($J$6:$J$205=J10),--($D$6:$D$205&lt;=E10),--($E$6:$E$205&gt;=D10),--($K$6:$K$205&lt;&gt;"Cancelled"))&gt;0,"Yes","No"))</f>
        <v/>
      </c>
      <c r="P10" s="18">
        <f>IF(COUNTA(A10:L10)=0,"",IF(OR(A10="",B10="",C10="",D10="",E10="",F10="",G10="",K10=""),"Missing required fields",IF(COUNTIF($A$6:$A$205,A10)&gt;1,"Duplicate Event ID",IF(E10&lt;D10,"End date before start date",IF(N10="Term not found","Term not found",IF(N10="Yes","Outside term",IF(O10="Yes","Owner conflict",IF(AND(E10&lt;Dashboard!$B$4,K10&lt;&gt;"Completed",K10&lt;&gt;"Cancelled"),"Past event not completed",""))))))))</f>
        <v/>
      </c>
    </row>
    <row r="11">
      <c r="A11" s="16" t="inlineStr">
        <is>
          <t>EVT-2026-006</t>
        </is>
      </c>
      <c r="B11" s="16" t="inlineStr">
        <is>
          <t>2026-2027</t>
        </is>
      </c>
      <c r="C11" s="16" t="inlineStr">
        <is>
          <t>Fall Term</t>
        </is>
      </c>
      <c r="D11" s="26" t="n">
        <v>46318</v>
      </c>
      <c r="E11" s="26" t="n">
        <v>46318</v>
      </c>
      <c r="F11" s="16" t="inlineStr">
        <is>
          <t>Founders Day Closure</t>
        </is>
      </c>
      <c r="G11" s="16" t="inlineStr">
        <is>
          <t>Break/Holiday</t>
        </is>
      </c>
      <c r="H11" s="16" t="inlineStr">
        <is>
          <t>Closed</t>
        </is>
      </c>
      <c r="I11" s="16" t="inlineStr">
        <is>
          <t>All Learners</t>
        </is>
      </c>
      <c r="J11" s="16" t="inlineStr">
        <is>
          <t>Campus Operations Team</t>
        </is>
      </c>
      <c r="K11" s="16" t="inlineStr">
        <is>
          <t>Confirmed</t>
        </is>
      </c>
      <c r="L11" s="16" t="inlineStr">
        <is>
          <t>Fictional institutional closure.</t>
        </is>
      </c>
      <c r="M11" s="18">
        <f>IF(OR(D11="",E11=""),"",IF(E11&lt;D11,"",E11-D11+1))</f>
        <v/>
      </c>
      <c r="N11" s="18">
        <f>IF(OR(B11="",C11="",D11="",E11=""),"",IF(COUNTIFS('Academic Terms'!$A$6:$A$101,B11,'Academic Terms'!$B$6:$B$101,C11)&lt;&gt;1,"Term not found",IF(OR(D11&lt;SUMIFS('Academic Terms'!$C$6:$C$101,'Academic Terms'!$A$6:$A$101,B11,'Academic Terms'!$B$6:$B$101,C11),E11&gt;SUMIFS('Academic Terms'!$D$6:$D$101,'Academic Terms'!$A$6:$A$101,B11,'Academic Terms'!$B$6:$B$101,C11)),"Yes","No")))</f>
        <v/>
      </c>
      <c r="O11" s="18">
        <f>IF(OR(A11="",B11="",D11="",E11="",J11="",K11="Cancelled"),"",IF(SUMPRODUCT(--($A$6:$A$205&lt;&gt;A11),--($B$6:$B$205=B11),--($J$6:$J$205=J11),--($D$6:$D$205&lt;=E11),--($E$6:$E$205&gt;=D11),--($K$6:$K$205&lt;&gt;"Cancelled"))&gt;0,"Yes","No"))</f>
        <v/>
      </c>
      <c r="P11" s="18">
        <f>IF(COUNTA(A11:L11)=0,"",IF(OR(A11="",B11="",C11="",D11="",E11="",F11="",G11="",K11=""),"Missing required fields",IF(COUNTIF($A$6:$A$205,A11)&gt;1,"Duplicate Event ID",IF(E11&lt;D11,"End date before start date",IF(N11="Term not found","Term not found",IF(N11="Yes","Outside term",IF(O11="Yes","Owner conflict",IF(AND(E11&lt;Dashboard!$B$4,K11&lt;&gt;"Completed",K11&lt;&gt;"Cancelled"),"Past event not completed",""))))))))</f>
        <v/>
      </c>
    </row>
    <row r="12">
      <c r="A12" s="16" t="inlineStr">
        <is>
          <t>EVT-2026-007</t>
        </is>
      </c>
      <c r="B12" s="16" t="inlineStr">
        <is>
          <t>2026-2027</t>
        </is>
      </c>
      <c r="C12" s="16" t="inlineStr">
        <is>
          <t>Fall Term</t>
        </is>
      </c>
      <c r="D12" s="26" t="n">
        <v>46328</v>
      </c>
      <c r="E12" s="26" t="n">
        <v>46339</v>
      </c>
      <c r="F12" s="16" t="inlineStr">
        <is>
          <t>Winter Registration Window</t>
        </is>
      </c>
      <c r="G12" s="16" t="inlineStr">
        <is>
          <t>Registration</t>
        </is>
      </c>
      <c r="H12" s="16" t="inlineStr">
        <is>
          <t>Open</t>
        </is>
      </c>
      <c r="I12" s="16" t="inlineStr">
        <is>
          <t>All Learners</t>
        </is>
      </c>
      <c r="J12" s="16" t="inlineStr">
        <is>
          <t>Registrar Team</t>
        </is>
      </c>
      <c r="K12" s="16" t="inlineStr">
        <is>
          <t>Planned</t>
        </is>
      </c>
      <c r="L12" s="16" t="inlineStr">
        <is>
          <t>Registration window for winter courses.</t>
        </is>
      </c>
      <c r="M12" s="18">
        <f>IF(OR(D12="",E12=""),"",IF(E12&lt;D12,"",E12-D12+1))</f>
        <v/>
      </c>
      <c r="N12" s="18">
        <f>IF(OR(B12="",C12="",D12="",E12=""),"",IF(COUNTIFS('Academic Terms'!$A$6:$A$101,B12,'Academic Terms'!$B$6:$B$101,C12)&lt;&gt;1,"Term not found",IF(OR(D12&lt;SUMIFS('Academic Terms'!$C$6:$C$101,'Academic Terms'!$A$6:$A$101,B12,'Academic Terms'!$B$6:$B$101,C12),E12&gt;SUMIFS('Academic Terms'!$D$6:$D$101,'Academic Terms'!$A$6:$A$101,B12,'Academic Terms'!$B$6:$B$101,C12)),"Yes","No")))</f>
        <v/>
      </c>
      <c r="O12" s="18">
        <f>IF(OR(A12="",B12="",D12="",E12="",J12="",K12="Cancelled"),"",IF(SUMPRODUCT(--($A$6:$A$205&lt;&gt;A12),--($B$6:$B$205=B12),--($J$6:$J$205=J12),--($D$6:$D$205&lt;=E12),--($E$6:$E$205&gt;=D12),--($K$6:$K$205&lt;&gt;"Cancelled"))&gt;0,"Yes","No"))</f>
        <v/>
      </c>
      <c r="P12" s="18">
        <f>IF(COUNTA(A12:L12)=0,"",IF(OR(A12="",B12="",C12="",D12="",E12="",F12="",G12="",K12=""),"Missing required fields",IF(COUNTIF($A$6:$A$205,A12)&gt;1,"Duplicate Event ID",IF(E12&lt;D12,"End date before start date",IF(N12="Term not found","Term not found",IF(N12="Yes","Outside term",IF(O12="Yes","Owner conflict",IF(AND(E12&lt;Dashboard!$B$4,K12&lt;&gt;"Completed",K12&lt;&gt;"Cancelled"),"Past event not completed",""))))))))</f>
        <v/>
      </c>
    </row>
    <row r="13">
      <c r="A13" s="16" t="inlineStr">
        <is>
          <t>EVT-2026-008</t>
        </is>
      </c>
      <c r="B13" s="16" t="inlineStr">
        <is>
          <t>2026-2027</t>
        </is>
      </c>
      <c r="C13" s="16" t="inlineStr">
        <is>
          <t>Fall Term</t>
        </is>
      </c>
      <c r="D13" s="26" t="n">
        <v>46367</v>
      </c>
      <c r="E13" s="26" t="n">
        <v>46367</v>
      </c>
      <c r="F13" s="16" t="inlineStr">
        <is>
          <t>Fall Instruction Ends</t>
        </is>
      </c>
      <c r="G13" s="16" t="inlineStr">
        <is>
          <t>Instruction</t>
        </is>
      </c>
      <c r="H13" s="16" t="inlineStr">
        <is>
          <t>Open</t>
        </is>
      </c>
      <c r="I13" s="16" t="inlineStr">
        <is>
          <t>All Learners</t>
        </is>
      </c>
      <c r="J13" s="16" t="inlineStr">
        <is>
          <t>Academic Affairs Team</t>
        </is>
      </c>
      <c r="K13" s="16" t="inlineStr">
        <is>
          <t>Planned</t>
        </is>
      </c>
      <c r="L13" s="16" t="inlineStr">
        <is>
          <t>Final scheduled instructional day.</t>
        </is>
      </c>
      <c r="M13" s="18">
        <f>IF(OR(D13="",E13=""),"",IF(E13&lt;D13,"",E13-D13+1))</f>
        <v/>
      </c>
      <c r="N13" s="18">
        <f>IF(OR(B13="",C13="",D13="",E13=""),"",IF(COUNTIFS('Academic Terms'!$A$6:$A$101,B13,'Academic Terms'!$B$6:$B$101,C13)&lt;&gt;1,"Term not found",IF(OR(D13&lt;SUMIFS('Academic Terms'!$C$6:$C$101,'Academic Terms'!$A$6:$A$101,B13,'Academic Terms'!$B$6:$B$101,C13),E13&gt;SUMIFS('Academic Terms'!$D$6:$D$101,'Academic Terms'!$A$6:$A$101,B13,'Academic Terms'!$B$6:$B$101,C13)),"Yes","No")))</f>
        <v/>
      </c>
      <c r="O13" s="18">
        <f>IF(OR(A13="",B13="",D13="",E13="",J13="",K13="Cancelled"),"",IF(SUMPRODUCT(--($A$6:$A$205&lt;&gt;A13),--($B$6:$B$205=B13),--($J$6:$J$205=J13),--($D$6:$D$205&lt;=E13),--($E$6:$E$205&gt;=D13),--($K$6:$K$205&lt;&gt;"Cancelled"))&gt;0,"Yes","No"))</f>
        <v/>
      </c>
      <c r="P13" s="18">
        <f>IF(COUNTA(A13:L13)=0,"",IF(OR(A13="",B13="",C13="",D13="",E13="",F13="",G13="",K13=""),"Missing required fields",IF(COUNTIF($A$6:$A$205,A13)&gt;1,"Duplicate Event ID",IF(E13&lt;D13,"End date before start date",IF(N13="Term not found","Term not found",IF(N13="Yes","Outside term",IF(O13="Yes","Owner conflict",IF(AND(E13&lt;Dashboard!$B$4,K13&lt;&gt;"Completed",K13&lt;&gt;"Cancelled"),"Past event not completed",""))))))))</f>
        <v/>
      </c>
    </row>
    <row r="14">
      <c r="A14" s="16" t="inlineStr">
        <is>
          <t>EVT-2027-009</t>
        </is>
      </c>
      <c r="B14" s="16" t="inlineStr">
        <is>
          <t>2026-2027</t>
        </is>
      </c>
      <c r="C14" s="16" t="inlineStr">
        <is>
          <t>Winter Term</t>
        </is>
      </c>
      <c r="D14" s="26" t="n">
        <v>46391</v>
      </c>
      <c r="E14" s="26" t="n">
        <v>46391</v>
      </c>
      <c r="F14" s="16" t="inlineStr">
        <is>
          <t>Winter Classes Begin</t>
        </is>
      </c>
      <c r="G14" s="16" t="inlineStr">
        <is>
          <t>Instruction</t>
        </is>
      </c>
      <c r="H14" s="16" t="inlineStr">
        <is>
          <t>Open</t>
        </is>
      </c>
      <c r="I14" s="16" t="inlineStr">
        <is>
          <t>All Learners</t>
        </is>
      </c>
      <c r="J14" s="16" t="inlineStr">
        <is>
          <t>Registrar Team</t>
        </is>
      </c>
      <c r="K14" s="16" t="inlineStr">
        <is>
          <t>Planned</t>
        </is>
      </c>
      <c r="L14" s="16" t="inlineStr">
        <is>
          <t>First instructional day of the winter term.</t>
        </is>
      </c>
      <c r="M14" s="18">
        <f>IF(OR(D14="",E14=""),"",IF(E14&lt;D14,"",E14-D14+1))</f>
        <v/>
      </c>
      <c r="N14" s="18">
        <f>IF(OR(B14="",C14="",D14="",E14=""),"",IF(COUNTIFS('Academic Terms'!$A$6:$A$101,B14,'Academic Terms'!$B$6:$B$101,C14)&lt;&gt;1,"Term not found",IF(OR(D14&lt;SUMIFS('Academic Terms'!$C$6:$C$101,'Academic Terms'!$A$6:$A$101,B14,'Academic Terms'!$B$6:$B$101,C14),E14&gt;SUMIFS('Academic Terms'!$D$6:$D$101,'Academic Terms'!$A$6:$A$101,B14,'Academic Terms'!$B$6:$B$101,C14)),"Yes","No")))</f>
        <v/>
      </c>
      <c r="O14" s="18">
        <f>IF(OR(A14="",B14="",D14="",E14="",J14="",K14="Cancelled"),"",IF(SUMPRODUCT(--($A$6:$A$205&lt;&gt;A14),--($B$6:$B$205=B14),--($J$6:$J$205=J14),--($D$6:$D$205&lt;=E14),--($E$6:$E$205&gt;=D14),--($K$6:$K$205&lt;&gt;"Cancelled"))&gt;0,"Yes","No"))</f>
        <v/>
      </c>
      <c r="P14" s="18">
        <f>IF(COUNTA(A14:L14)=0,"",IF(OR(A14="",B14="",C14="",D14="",E14="",F14="",G14="",K14=""),"Missing required fields",IF(COUNTIF($A$6:$A$205,A14)&gt;1,"Duplicate Event ID",IF(E14&lt;D14,"End date before start date",IF(N14="Term not found","Term not found",IF(N14="Yes","Outside term",IF(O14="Yes","Owner conflict",IF(AND(E14&lt;Dashboard!$B$4,K14&lt;&gt;"Completed",K14&lt;&gt;"Cancelled"),"Past event not completed",""))))))))</f>
        <v/>
      </c>
    </row>
    <row r="15">
      <c r="A15" s="16" t="inlineStr">
        <is>
          <t>EVT-2027-010</t>
        </is>
      </c>
      <c r="B15" s="16" t="inlineStr">
        <is>
          <t>2026-2027</t>
        </is>
      </c>
      <c r="C15" s="16" t="inlineStr">
        <is>
          <t>Spring Term</t>
        </is>
      </c>
      <c r="D15" s="26" t="n">
        <v>46475</v>
      </c>
      <c r="E15" s="26" t="n">
        <v>46475</v>
      </c>
      <c r="F15" s="16" t="inlineStr">
        <is>
          <t>Spring Classes Begin</t>
        </is>
      </c>
      <c r="G15" s="16" t="inlineStr">
        <is>
          <t>Instruction</t>
        </is>
      </c>
      <c r="H15" s="16" t="inlineStr">
        <is>
          <t>Open</t>
        </is>
      </c>
      <c r="I15" s="16" t="inlineStr">
        <is>
          <t>All Learners</t>
        </is>
      </c>
      <c r="J15" s="16" t="inlineStr">
        <is>
          <t>Registrar Team</t>
        </is>
      </c>
      <c r="K15" s="16" t="inlineStr">
        <is>
          <t>Planned</t>
        </is>
      </c>
      <c r="L15" s="16" t="inlineStr">
        <is>
          <t>First instructional day of the spring term.</t>
        </is>
      </c>
      <c r="M15" s="18">
        <f>IF(OR(D15="",E15=""),"",IF(E15&lt;D15,"",E15-D15+1))</f>
        <v/>
      </c>
      <c r="N15" s="18">
        <f>IF(OR(B15="",C15="",D15="",E15=""),"",IF(COUNTIFS('Academic Terms'!$A$6:$A$101,B15,'Academic Terms'!$B$6:$B$101,C15)&lt;&gt;1,"Term not found",IF(OR(D15&lt;SUMIFS('Academic Terms'!$C$6:$C$101,'Academic Terms'!$A$6:$A$101,B15,'Academic Terms'!$B$6:$B$101,C15),E15&gt;SUMIFS('Academic Terms'!$D$6:$D$101,'Academic Terms'!$A$6:$A$101,B15,'Academic Terms'!$B$6:$B$101,C15)),"Yes","No")))</f>
        <v/>
      </c>
      <c r="O15" s="18">
        <f>IF(OR(A15="",B15="",D15="",E15="",J15="",K15="Cancelled"),"",IF(SUMPRODUCT(--($A$6:$A$205&lt;&gt;A15),--($B$6:$B$205=B15),--($J$6:$J$205=J15),--($D$6:$D$205&lt;=E15),--($E$6:$E$205&gt;=D15),--($K$6:$K$205&lt;&gt;"Cancelled"))&gt;0,"Yes","No"))</f>
        <v/>
      </c>
      <c r="P15" s="18">
        <f>IF(COUNTA(A15:L15)=0,"",IF(OR(A15="",B15="",C15="",D15="",E15="",F15="",G15="",K15=""),"Missing required fields",IF(COUNTIF($A$6:$A$205,A15)&gt;1,"Duplicate Event ID",IF(E15&lt;D15,"End date before start date",IF(N15="Term not found","Term not found",IF(N15="Yes","Outside term",IF(O15="Yes","Owner conflict",IF(AND(E15&lt;Dashboard!$B$4,K15&lt;&gt;"Completed",K15&lt;&gt;"Cancelled"),"Past event not completed",""))))))))</f>
        <v/>
      </c>
    </row>
    <row r="16">
      <c r="A16" s="16" t="n"/>
      <c r="B16" s="16" t="n"/>
      <c r="C16" s="16" t="n"/>
      <c r="D16" s="26" t="n"/>
      <c r="E16" s="26" t="n"/>
      <c r="F16" s="16" t="n"/>
      <c r="G16" s="16" t="n"/>
      <c r="H16" s="16" t="n"/>
      <c r="I16" s="16" t="n"/>
      <c r="J16" s="16" t="n"/>
      <c r="K16" s="16" t="n"/>
      <c r="L16" s="16" t="n"/>
      <c r="M16" s="18">
        <f>IF(OR(D16="",E16=""),"",IF(E16&lt;D16,"",E16-D16+1))</f>
        <v/>
      </c>
      <c r="N16" s="18">
        <f>IF(OR(B16="",C16="",D16="",E16=""),"",IF(COUNTIFS('Academic Terms'!$A$6:$A$101,B16,'Academic Terms'!$B$6:$B$101,C16)&lt;&gt;1,"Term not found",IF(OR(D16&lt;SUMIFS('Academic Terms'!$C$6:$C$101,'Academic Terms'!$A$6:$A$101,B16,'Academic Terms'!$B$6:$B$101,C16),E16&gt;SUMIFS('Academic Terms'!$D$6:$D$101,'Academic Terms'!$A$6:$A$101,B16,'Academic Terms'!$B$6:$B$101,C16)),"Yes","No")))</f>
        <v/>
      </c>
      <c r="O16" s="18">
        <f>IF(OR(A16="",B16="",D16="",E16="",J16="",K16="Cancelled"),"",IF(SUMPRODUCT(--($A$6:$A$205&lt;&gt;A16),--($B$6:$B$205=B16),--($J$6:$J$205=J16),--($D$6:$D$205&lt;=E16),--($E$6:$E$205&gt;=D16),--($K$6:$K$205&lt;&gt;"Cancelled"))&gt;0,"Yes","No"))</f>
        <v/>
      </c>
      <c r="P16" s="18">
        <f>IF(COUNTA(A16:L16)=0,"",IF(OR(A16="",B16="",C16="",D16="",E16="",F16="",G16="",K16=""),"Missing required fields",IF(COUNTIF($A$6:$A$205,A16)&gt;1,"Duplicate Event ID",IF(E16&lt;D16,"End date before start date",IF(N16="Term not found","Term not found",IF(N16="Yes","Outside term",IF(O16="Yes","Owner conflict",IF(AND(E16&lt;Dashboard!$B$4,K16&lt;&gt;"Completed",K16&lt;&gt;"Cancelled"),"Past event not completed",""))))))))</f>
        <v/>
      </c>
    </row>
    <row r="17">
      <c r="A17" s="16" t="n"/>
      <c r="B17" s="16" t="n"/>
      <c r="C17" s="16" t="n"/>
      <c r="D17" s="26" t="n"/>
      <c r="E17" s="26" t="n"/>
      <c r="F17" s="16" t="n"/>
      <c r="G17" s="16" t="n"/>
      <c r="H17" s="16" t="n"/>
      <c r="I17" s="16" t="n"/>
      <c r="J17" s="16" t="n"/>
      <c r="K17" s="16" t="n"/>
      <c r="L17" s="16" t="n"/>
      <c r="M17" s="18">
        <f>IF(OR(D17="",E17=""),"",IF(E17&lt;D17,"",E17-D17+1))</f>
        <v/>
      </c>
      <c r="N17" s="18">
        <f>IF(OR(B17="",C17="",D17="",E17=""),"",IF(COUNTIFS('Academic Terms'!$A$6:$A$101,B17,'Academic Terms'!$B$6:$B$101,C17)&lt;&gt;1,"Term not found",IF(OR(D17&lt;SUMIFS('Academic Terms'!$C$6:$C$101,'Academic Terms'!$A$6:$A$101,B17,'Academic Terms'!$B$6:$B$101,C17),E17&gt;SUMIFS('Academic Terms'!$D$6:$D$101,'Academic Terms'!$A$6:$A$101,B17,'Academic Terms'!$B$6:$B$101,C17)),"Yes","No")))</f>
        <v/>
      </c>
      <c r="O17" s="18">
        <f>IF(OR(A17="",B17="",D17="",E17="",J17="",K17="Cancelled"),"",IF(SUMPRODUCT(--($A$6:$A$205&lt;&gt;A17),--($B$6:$B$205=B17),--($J$6:$J$205=J17),--($D$6:$D$205&lt;=E17),--($E$6:$E$205&gt;=D17),--($K$6:$K$205&lt;&gt;"Cancelled"))&gt;0,"Yes","No"))</f>
        <v/>
      </c>
      <c r="P17" s="18">
        <f>IF(COUNTA(A17:L17)=0,"",IF(OR(A17="",B17="",C17="",D17="",E17="",F17="",G17="",K17=""),"Missing required fields",IF(COUNTIF($A$6:$A$205,A17)&gt;1,"Duplicate Event ID",IF(E17&lt;D17,"End date before start date",IF(N17="Term not found","Term not found",IF(N17="Yes","Outside term",IF(O17="Yes","Owner conflict",IF(AND(E17&lt;Dashboard!$B$4,K17&lt;&gt;"Completed",K17&lt;&gt;"Cancelled"),"Past event not completed",""))))))))</f>
        <v/>
      </c>
    </row>
    <row r="18">
      <c r="A18" s="16" t="n"/>
      <c r="B18" s="16" t="n"/>
      <c r="C18" s="16" t="n"/>
      <c r="D18" s="26" t="n"/>
      <c r="E18" s="26" t="n"/>
      <c r="F18" s="16" t="n"/>
      <c r="G18" s="16" t="n"/>
      <c r="H18" s="16" t="n"/>
      <c r="I18" s="16" t="n"/>
      <c r="J18" s="16" t="n"/>
      <c r="K18" s="16" t="n"/>
      <c r="L18" s="16" t="n"/>
      <c r="M18" s="18">
        <f>IF(OR(D18="",E18=""),"",IF(E18&lt;D18,"",E18-D18+1))</f>
        <v/>
      </c>
      <c r="N18" s="18">
        <f>IF(OR(B18="",C18="",D18="",E18=""),"",IF(COUNTIFS('Academic Terms'!$A$6:$A$101,B18,'Academic Terms'!$B$6:$B$101,C18)&lt;&gt;1,"Term not found",IF(OR(D18&lt;SUMIFS('Academic Terms'!$C$6:$C$101,'Academic Terms'!$A$6:$A$101,B18,'Academic Terms'!$B$6:$B$101,C18),E18&gt;SUMIFS('Academic Terms'!$D$6:$D$101,'Academic Terms'!$A$6:$A$101,B18,'Academic Terms'!$B$6:$B$101,C18)),"Yes","No")))</f>
        <v/>
      </c>
      <c r="O18" s="18">
        <f>IF(OR(A18="",B18="",D18="",E18="",J18="",K18="Cancelled"),"",IF(SUMPRODUCT(--($A$6:$A$205&lt;&gt;A18),--($B$6:$B$205=B18),--($J$6:$J$205=J18),--($D$6:$D$205&lt;=E18),--($E$6:$E$205&gt;=D18),--($K$6:$K$205&lt;&gt;"Cancelled"))&gt;0,"Yes","No"))</f>
        <v/>
      </c>
      <c r="P18" s="18">
        <f>IF(COUNTA(A18:L18)=0,"",IF(OR(A18="",B18="",C18="",D18="",E18="",F18="",G18="",K18=""),"Missing required fields",IF(COUNTIF($A$6:$A$205,A18)&gt;1,"Duplicate Event ID",IF(E18&lt;D18,"End date before start date",IF(N18="Term not found","Term not found",IF(N18="Yes","Outside term",IF(O18="Yes","Owner conflict",IF(AND(E18&lt;Dashboard!$B$4,K18&lt;&gt;"Completed",K18&lt;&gt;"Cancelled"),"Past event not completed",""))))))))</f>
        <v/>
      </c>
    </row>
    <row r="19">
      <c r="A19" s="16" t="n"/>
      <c r="B19" s="16" t="n"/>
      <c r="C19" s="16" t="n"/>
      <c r="D19" s="26" t="n"/>
      <c r="E19" s="26" t="n"/>
      <c r="F19" s="16" t="n"/>
      <c r="G19" s="16" t="n"/>
      <c r="H19" s="16" t="n"/>
      <c r="I19" s="16" t="n"/>
      <c r="J19" s="16" t="n"/>
      <c r="K19" s="16" t="n"/>
      <c r="L19" s="16" t="n"/>
      <c r="M19" s="18">
        <f>IF(OR(D19="",E19=""),"",IF(E19&lt;D19,"",E19-D19+1))</f>
        <v/>
      </c>
      <c r="N19" s="18">
        <f>IF(OR(B19="",C19="",D19="",E19=""),"",IF(COUNTIFS('Academic Terms'!$A$6:$A$101,B19,'Academic Terms'!$B$6:$B$101,C19)&lt;&gt;1,"Term not found",IF(OR(D19&lt;SUMIFS('Academic Terms'!$C$6:$C$101,'Academic Terms'!$A$6:$A$101,B19,'Academic Terms'!$B$6:$B$101,C19),E19&gt;SUMIFS('Academic Terms'!$D$6:$D$101,'Academic Terms'!$A$6:$A$101,B19,'Academic Terms'!$B$6:$B$101,C19)),"Yes","No")))</f>
        <v/>
      </c>
      <c r="O19" s="18">
        <f>IF(OR(A19="",B19="",D19="",E19="",J19="",K19="Cancelled"),"",IF(SUMPRODUCT(--($A$6:$A$205&lt;&gt;A19),--($B$6:$B$205=B19),--($J$6:$J$205=J19),--($D$6:$D$205&lt;=E19),--($E$6:$E$205&gt;=D19),--($K$6:$K$205&lt;&gt;"Cancelled"))&gt;0,"Yes","No"))</f>
        <v/>
      </c>
      <c r="P19" s="18">
        <f>IF(COUNTA(A19:L19)=0,"",IF(OR(A19="",B19="",C19="",D19="",E19="",F19="",G19="",K19=""),"Missing required fields",IF(COUNTIF($A$6:$A$205,A19)&gt;1,"Duplicate Event ID",IF(E19&lt;D19,"End date before start date",IF(N19="Term not found","Term not found",IF(N19="Yes","Outside term",IF(O19="Yes","Owner conflict",IF(AND(E19&lt;Dashboard!$B$4,K19&lt;&gt;"Completed",K19&lt;&gt;"Cancelled"),"Past event not completed",""))))))))</f>
        <v/>
      </c>
    </row>
    <row r="20">
      <c r="A20" s="16" t="n"/>
      <c r="B20" s="16" t="n"/>
      <c r="C20" s="16" t="n"/>
      <c r="D20" s="26" t="n"/>
      <c r="E20" s="26" t="n"/>
      <c r="F20" s="16" t="n"/>
      <c r="G20" s="16" t="n"/>
      <c r="H20" s="16" t="n"/>
      <c r="I20" s="16" t="n"/>
      <c r="J20" s="16" t="n"/>
      <c r="K20" s="16" t="n"/>
      <c r="L20" s="16" t="n"/>
      <c r="M20" s="18">
        <f>IF(OR(D20="",E20=""),"",IF(E20&lt;D20,"",E20-D20+1))</f>
        <v/>
      </c>
      <c r="N20" s="18">
        <f>IF(OR(B20="",C20="",D20="",E20=""),"",IF(COUNTIFS('Academic Terms'!$A$6:$A$101,B20,'Academic Terms'!$B$6:$B$101,C20)&lt;&gt;1,"Term not found",IF(OR(D20&lt;SUMIFS('Academic Terms'!$C$6:$C$101,'Academic Terms'!$A$6:$A$101,B20,'Academic Terms'!$B$6:$B$101,C20),E20&gt;SUMIFS('Academic Terms'!$D$6:$D$101,'Academic Terms'!$A$6:$A$101,B20,'Academic Terms'!$B$6:$B$101,C20)),"Yes","No")))</f>
        <v/>
      </c>
      <c r="O20" s="18">
        <f>IF(OR(A20="",B20="",D20="",E20="",J20="",K20="Cancelled"),"",IF(SUMPRODUCT(--($A$6:$A$205&lt;&gt;A20),--($B$6:$B$205=B20),--($J$6:$J$205=J20),--($D$6:$D$205&lt;=E20),--($E$6:$E$205&gt;=D20),--($K$6:$K$205&lt;&gt;"Cancelled"))&gt;0,"Yes","No"))</f>
        <v/>
      </c>
      <c r="P20" s="18">
        <f>IF(COUNTA(A20:L20)=0,"",IF(OR(A20="",B20="",C20="",D20="",E20="",F20="",G20="",K20=""),"Missing required fields",IF(COUNTIF($A$6:$A$205,A20)&gt;1,"Duplicate Event ID",IF(E20&lt;D20,"End date before start date",IF(N20="Term not found","Term not found",IF(N20="Yes","Outside term",IF(O20="Yes","Owner conflict",IF(AND(E20&lt;Dashboard!$B$4,K20&lt;&gt;"Completed",K20&lt;&gt;"Cancelled"),"Past event not completed",""))))))))</f>
        <v/>
      </c>
    </row>
    <row r="21">
      <c r="A21" s="16" t="n"/>
      <c r="B21" s="16" t="n"/>
      <c r="C21" s="16" t="n"/>
      <c r="D21" s="26" t="n"/>
      <c r="E21" s="26" t="n"/>
      <c r="F21" s="16" t="n"/>
      <c r="G21" s="16" t="n"/>
      <c r="H21" s="16" t="n"/>
      <c r="I21" s="16" t="n"/>
      <c r="J21" s="16" t="n"/>
      <c r="K21" s="16" t="n"/>
      <c r="L21" s="16" t="n"/>
      <c r="M21" s="18">
        <f>IF(OR(D21="",E21=""),"",IF(E21&lt;D21,"",E21-D21+1))</f>
        <v/>
      </c>
      <c r="N21" s="18">
        <f>IF(OR(B21="",C21="",D21="",E21=""),"",IF(COUNTIFS('Academic Terms'!$A$6:$A$101,B21,'Academic Terms'!$B$6:$B$101,C21)&lt;&gt;1,"Term not found",IF(OR(D21&lt;SUMIFS('Academic Terms'!$C$6:$C$101,'Academic Terms'!$A$6:$A$101,B21,'Academic Terms'!$B$6:$B$101,C21),E21&gt;SUMIFS('Academic Terms'!$D$6:$D$101,'Academic Terms'!$A$6:$A$101,B21,'Academic Terms'!$B$6:$B$101,C21)),"Yes","No")))</f>
        <v/>
      </c>
      <c r="O21" s="18">
        <f>IF(OR(A21="",B21="",D21="",E21="",J21="",K21="Cancelled"),"",IF(SUMPRODUCT(--($A$6:$A$205&lt;&gt;A21),--($B$6:$B$205=B21),--($J$6:$J$205=J21),--($D$6:$D$205&lt;=E21),--($E$6:$E$205&gt;=D21),--($K$6:$K$205&lt;&gt;"Cancelled"))&gt;0,"Yes","No"))</f>
        <v/>
      </c>
      <c r="P21" s="18">
        <f>IF(COUNTA(A21:L21)=0,"",IF(OR(A21="",B21="",C21="",D21="",E21="",F21="",G21="",K21=""),"Missing required fields",IF(COUNTIF($A$6:$A$205,A21)&gt;1,"Duplicate Event ID",IF(E21&lt;D21,"End date before start date",IF(N21="Term not found","Term not found",IF(N21="Yes","Outside term",IF(O21="Yes","Owner conflict",IF(AND(E21&lt;Dashboard!$B$4,K21&lt;&gt;"Completed",K21&lt;&gt;"Cancelled"),"Past event not completed",""))))))))</f>
        <v/>
      </c>
    </row>
    <row r="22">
      <c r="A22" s="16" t="n"/>
      <c r="B22" s="16" t="n"/>
      <c r="C22" s="16" t="n"/>
      <c r="D22" s="26" t="n"/>
      <c r="E22" s="26" t="n"/>
      <c r="F22" s="16" t="n"/>
      <c r="G22" s="16" t="n"/>
      <c r="H22" s="16" t="n"/>
      <c r="I22" s="16" t="n"/>
      <c r="J22" s="16" t="n"/>
      <c r="K22" s="16" t="n"/>
      <c r="L22" s="16" t="n"/>
      <c r="M22" s="18">
        <f>IF(OR(D22="",E22=""),"",IF(E22&lt;D22,"",E22-D22+1))</f>
        <v/>
      </c>
      <c r="N22" s="18">
        <f>IF(OR(B22="",C22="",D22="",E22=""),"",IF(COUNTIFS('Academic Terms'!$A$6:$A$101,B22,'Academic Terms'!$B$6:$B$101,C22)&lt;&gt;1,"Term not found",IF(OR(D22&lt;SUMIFS('Academic Terms'!$C$6:$C$101,'Academic Terms'!$A$6:$A$101,B22,'Academic Terms'!$B$6:$B$101,C22),E22&gt;SUMIFS('Academic Terms'!$D$6:$D$101,'Academic Terms'!$A$6:$A$101,B22,'Academic Terms'!$B$6:$B$101,C22)),"Yes","No")))</f>
        <v/>
      </c>
      <c r="O22" s="18">
        <f>IF(OR(A22="",B22="",D22="",E22="",J22="",K22="Cancelled"),"",IF(SUMPRODUCT(--($A$6:$A$205&lt;&gt;A22),--($B$6:$B$205=B22),--($J$6:$J$205=J22),--($D$6:$D$205&lt;=E22),--($E$6:$E$205&gt;=D22),--($K$6:$K$205&lt;&gt;"Cancelled"))&gt;0,"Yes","No"))</f>
        <v/>
      </c>
      <c r="P22" s="18">
        <f>IF(COUNTA(A22:L22)=0,"",IF(OR(A22="",B22="",C22="",D22="",E22="",F22="",G22="",K22=""),"Missing required fields",IF(COUNTIF($A$6:$A$205,A22)&gt;1,"Duplicate Event ID",IF(E22&lt;D22,"End date before start date",IF(N22="Term not found","Term not found",IF(N22="Yes","Outside term",IF(O22="Yes","Owner conflict",IF(AND(E22&lt;Dashboard!$B$4,K22&lt;&gt;"Completed",K22&lt;&gt;"Cancelled"),"Past event not completed",""))))))))</f>
        <v/>
      </c>
    </row>
    <row r="23">
      <c r="A23" s="16" t="n"/>
      <c r="B23" s="16" t="n"/>
      <c r="C23" s="16" t="n"/>
      <c r="D23" s="26" t="n"/>
      <c r="E23" s="26" t="n"/>
      <c r="F23" s="16" t="n"/>
      <c r="G23" s="16" t="n"/>
      <c r="H23" s="16" t="n"/>
      <c r="I23" s="16" t="n"/>
      <c r="J23" s="16" t="n"/>
      <c r="K23" s="16" t="n"/>
      <c r="L23" s="16" t="n"/>
      <c r="M23" s="18">
        <f>IF(OR(D23="",E23=""),"",IF(E23&lt;D23,"",E23-D23+1))</f>
        <v/>
      </c>
      <c r="N23" s="18">
        <f>IF(OR(B23="",C23="",D23="",E23=""),"",IF(COUNTIFS('Academic Terms'!$A$6:$A$101,B23,'Academic Terms'!$B$6:$B$101,C23)&lt;&gt;1,"Term not found",IF(OR(D23&lt;SUMIFS('Academic Terms'!$C$6:$C$101,'Academic Terms'!$A$6:$A$101,B23,'Academic Terms'!$B$6:$B$101,C23),E23&gt;SUMIFS('Academic Terms'!$D$6:$D$101,'Academic Terms'!$A$6:$A$101,B23,'Academic Terms'!$B$6:$B$101,C23)),"Yes","No")))</f>
        <v/>
      </c>
      <c r="O23" s="18">
        <f>IF(OR(A23="",B23="",D23="",E23="",J23="",K23="Cancelled"),"",IF(SUMPRODUCT(--($A$6:$A$205&lt;&gt;A23),--($B$6:$B$205=B23),--($J$6:$J$205=J23),--($D$6:$D$205&lt;=E23),--($E$6:$E$205&gt;=D23),--($K$6:$K$205&lt;&gt;"Cancelled"))&gt;0,"Yes","No"))</f>
        <v/>
      </c>
      <c r="P23" s="18">
        <f>IF(COUNTA(A23:L23)=0,"",IF(OR(A23="",B23="",C23="",D23="",E23="",F23="",G23="",K23=""),"Missing required fields",IF(COUNTIF($A$6:$A$205,A23)&gt;1,"Duplicate Event ID",IF(E23&lt;D23,"End date before start date",IF(N23="Term not found","Term not found",IF(N23="Yes","Outside term",IF(O23="Yes","Owner conflict",IF(AND(E23&lt;Dashboard!$B$4,K23&lt;&gt;"Completed",K23&lt;&gt;"Cancelled"),"Past event not completed",""))))))))</f>
        <v/>
      </c>
    </row>
    <row r="24">
      <c r="A24" s="16" t="n"/>
      <c r="B24" s="16" t="n"/>
      <c r="C24" s="16" t="n"/>
      <c r="D24" s="26" t="n"/>
      <c r="E24" s="26" t="n"/>
      <c r="F24" s="16" t="n"/>
      <c r="G24" s="16" t="n"/>
      <c r="H24" s="16" t="n"/>
      <c r="I24" s="16" t="n"/>
      <c r="J24" s="16" t="n"/>
      <c r="K24" s="16" t="n"/>
      <c r="L24" s="16" t="n"/>
      <c r="M24" s="18">
        <f>IF(OR(D24="",E24=""),"",IF(E24&lt;D24,"",E24-D24+1))</f>
        <v/>
      </c>
      <c r="N24" s="18">
        <f>IF(OR(B24="",C24="",D24="",E24=""),"",IF(COUNTIFS('Academic Terms'!$A$6:$A$101,B24,'Academic Terms'!$B$6:$B$101,C24)&lt;&gt;1,"Term not found",IF(OR(D24&lt;SUMIFS('Academic Terms'!$C$6:$C$101,'Academic Terms'!$A$6:$A$101,B24,'Academic Terms'!$B$6:$B$101,C24),E24&gt;SUMIFS('Academic Terms'!$D$6:$D$101,'Academic Terms'!$A$6:$A$101,B24,'Academic Terms'!$B$6:$B$101,C24)),"Yes","No")))</f>
        <v/>
      </c>
      <c r="O24" s="18">
        <f>IF(OR(A24="",B24="",D24="",E24="",J24="",K24="Cancelled"),"",IF(SUMPRODUCT(--($A$6:$A$205&lt;&gt;A24),--($B$6:$B$205=B24),--($J$6:$J$205=J24),--($D$6:$D$205&lt;=E24),--($E$6:$E$205&gt;=D24),--($K$6:$K$205&lt;&gt;"Cancelled"))&gt;0,"Yes","No"))</f>
        <v/>
      </c>
      <c r="P24" s="18">
        <f>IF(COUNTA(A24:L24)=0,"",IF(OR(A24="",B24="",C24="",D24="",E24="",F24="",G24="",K24=""),"Missing required fields",IF(COUNTIF($A$6:$A$205,A24)&gt;1,"Duplicate Event ID",IF(E24&lt;D24,"End date before start date",IF(N24="Term not found","Term not found",IF(N24="Yes","Outside term",IF(O24="Yes","Owner conflict",IF(AND(E24&lt;Dashboard!$B$4,K24&lt;&gt;"Completed",K24&lt;&gt;"Cancelled"),"Past event not completed",""))))))))</f>
        <v/>
      </c>
    </row>
    <row r="25">
      <c r="A25" s="16" t="n"/>
      <c r="B25" s="16" t="n"/>
      <c r="C25" s="16" t="n"/>
      <c r="D25" s="26" t="n"/>
      <c r="E25" s="26" t="n"/>
      <c r="F25" s="16" t="n"/>
      <c r="G25" s="16" t="n"/>
      <c r="H25" s="16" t="n"/>
      <c r="I25" s="16" t="n"/>
      <c r="J25" s="16" t="n"/>
      <c r="K25" s="16" t="n"/>
      <c r="L25" s="16" t="n"/>
      <c r="M25" s="18">
        <f>IF(OR(D25="",E25=""),"",IF(E25&lt;D25,"",E25-D25+1))</f>
        <v/>
      </c>
      <c r="N25" s="18">
        <f>IF(OR(B25="",C25="",D25="",E25=""),"",IF(COUNTIFS('Academic Terms'!$A$6:$A$101,B25,'Academic Terms'!$B$6:$B$101,C25)&lt;&gt;1,"Term not found",IF(OR(D25&lt;SUMIFS('Academic Terms'!$C$6:$C$101,'Academic Terms'!$A$6:$A$101,B25,'Academic Terms'!$B$6:$B$101,C25),E25&gt;SUMIFS('Academic Terms'!$D$6:$D$101,'Academic Terms'!$A$6:$A$101,B25,'Academic Terms'!$B$6:$B$101,C25)),"Yes","No")))</f>
        <v/>
      </c>
      <c r="O25" s="18">
        <f>IF(OR(A25="",B25="",D25="",E25="",J25="",K25="Cancelled"),"",IF(SUMPRODUCT(--($A$6:$A$205&lt;&gt;A25),--($B$6:$B$205=B25),--($J$6:$J$205=J25),--($D$6:$D$205&lt;=E25),--($E$6:$E$205&gt;=D25),--($K$6:$K$205&lt;&gt;"Cancelled"))&gt;0,"Yes","No"))</f>
        <v/>
      </c>
      <c r="P25" s="18">
        <f>IF(COUNTA(A25:L25)=0,"",IF(OR(A25="",B25="",C25="",D25="",E25="",F25="",G25="",K25=""),"Missing required fields",IF(COUNTIF($A$6:$A$205,A25)&gt;1,"Duplicate Event ID",IF(E25&lt;D25,"End date before start date",IF(N25="Term not found","Term not found",IF(N25="Yes","Outside term",IF(O25="Yes","Owner conflict",IF(AND(E25&lt;Dashboard!$B$4,K25&lt;&gt;"Completed",K25&lt;&gt;"Cancelled"),"Past event not completed",""))))))))</f>
        <v/>
      </c>
    </row>
    <row r="26">
      <c r="A26" s="16" t="n"/>
      <c r="B26" s="16" t="n"/>
      <c r="C26" s="16" t="n"/>
      <c r="D26" s="26" t="n"/>
      <c r="E26" s="26" t="n"/>
      <c r="F26" s="16" t="n"/>
      <c r="G26" s="16" t="n"/>
      <c r="H26" s="16" t="n"/>
      <c r="I26" s="16" t="n"/>
      <c r="J26" s="16" t="n"/>
      <c r="K26" s="16" t="n"/>
      <c r="L26" s="16" t="n"/>
      <c r="M26" s="18">
        <f>IF(OR(D26="",E26=""),"",IF(E26&lt;D26,"",E26-D26+1))</f>
        <v/>
      </c>
      <c r="N26" s="18">
        <f>IF(OR(B26="",C26="",D26="",E26=""),"",IF(COUNTIFS('Academic Terms'!$A$6:$A$101,B26,'Academic Terms'!$B$6:$B$101,C26)&lt;&gt;1,"Term not found",IF(OR(D26&lt;SUMIFS('Academic Terms'!$C$6:$C$101,'Academic Terms'!$A$6:$A$101,B26,'Academic Terms'!$B$6:$B$101,C26),E26&gt;SUMIFS('Academic Terms'!$D$6:$D$101,'Academic Terms'!$A$6:$A$101,B26,'Academic Terms'!$B$6:$B$101,C26)),"Yes","No")))</f>
        <v/>
      </c>
      <c r="O26" s="18">
        <f>IF(OR(A26="",B26="",D26="",E26="",J26="",K26="Cancelled"),"",IF(SUMPRODUCT(--($A$6:$A$205&lt;&gt;A26),--($B$6:$B$205=B26),--($J$6:$J$205=J26),--($D$6:$D$205&lt;=E26),--($E$6:$E$205&gt;=D26),--($K$6:$K$205&lt;&gt;"Cancelled"))&gt;0,"Yes","No"))</f>
        <v/>
      </c>
      <c r="P26" s="18">
        <f>IF(COUNTA(A26:L26)=0,"",IF(OR(A26="",B26="",C26="",D26="",E26="",F26="",G26="",K26=""),"Missing required fields",IF(COUNTIF($A$6:$A$205,A26)&gt;1,"Duplicate Event ID",IF(E26&lt;D26,"End date before start date",IF(N26="Term not found","Term not found",IF(N26="Yes","Outside term",IF(O26="Yes","Owner conflict",IF(AND(E26&lt;Dashboard!$B$4,K26&lt;&gt;"Completed",K26&lt;&gt;"Cancelled"),"Past event not completed",""))))))))</f>
        <v/>
      </c>
    </row>
    <row r="27">
      <c r="A27" s="16" t="n"/>
      <c r="B27" s="16" t="n"/>
      <c r="C27" s="16" t="n"/>
      <c r="D27" s="26" t="n"/>
      <c r="E27" s="26" t="n"/>
      <c r="F27" s="16" t="n"/>
      <c r="G27" s="16" t="n"/>
      <c r="H27" s="16" t="n"/>
      <c r="I27" s="16" t="n"/>
      <c r="J27" s="16" t="n"/>
      <c r="K27" s="16" t="n"/>
      <c r="L27" s="16" t="n"/>
      <c r="M27" s="18">
        <f>IF(OR(D27="",E27=""),"",IF(E27&lt;D27,"",E27-D27+1))</f>
        <v/>
      </c>
      <c r="N27" s="18">
        <f>IF(OR(B27="",C27="",D27="",E27=""),"",IF(COUNTIFS('Academic Terms'!$A$6:$A$101,B27,'Academic Terms'!$B$6:$B$101,C27)&lt;&gt;1,"Term not found",IF(OR(D27&lt;SUMIFS('Academic Terms'!$C$6:$C$101,'Academic Terms'!$A$6:$A$101,B27,'Academic Terms'!$B$6:$B$101,C27),E27&gt;SUMIFS('Academic Terms'!$D$6:$D$101,'Academic Terms'!$A$6:$A$101,B27,'Academic Terms'!$B$6:$B$101,C27)),"Yes","No")))</f>
        <v/>
      </c>
      <c r="O27" s="18">
        <f>IF(OR(A27="",B27="",D27="",E27="",J27="",K27="Cancelled"),"",IF(SUMPRODUCT(--($A$6:$A$205&lt;&gt;A27),--($B$6:$B$205=B27),--($J$6:$J$205=J27),--($D$6:$D$205&lt;=E27),--($E$6:$E$205&gt;=D27),--($K$6:$K$205&lt;&gt;"Cancelled"))&gt;0,"Yes","No"))</f>
        <v/>
      </c>
      <c r="P27" s="18">
        <f>IF(COUNTA(A27:L27)=0,"",IF(OR(A27="",B27="",C27="",D27="",E27="",F27="",G27="",K27=""),"Missing required fields",IF(COUNTIF($A$6:$A$205,A27)&gt;1,"Duplicate Event ID",IF(E27&lt;D27,"End date before start date",IF(N27="Term not found","Term not found",IF(N27="Yes","Outside term",IF(O27="Yes","Owner conflict",IF(AND(E27&lt;Dashboard!$B$4,K27&lt;&gt;"Completed",K27&lt;&gt;"Cancelled"),"Past event not completed",""))))))))</f>
        <v/>
      </c>
    </row>
    <row r="28">
      <c r="A28" s="16" t="n"/>
      <c r="B28" s="16" t="n"/>
      <c r="C28" s="16" t="n"/>
      <c r="D28" s="26" t="n"/>
      <c r="E28" s="26" t="n"/>
      <c r="F28" s="16" t="n"/>
      <c r="G28" s="16" t="n"/>
      <c r="H28" s="16" t="n"/>
      <c r="I28" s="16" t="n"/>
      <c r="J28" s="16" t="n"/>
      <c r="K28" s="16" t="n"/>
      <c r="L28" s="16" t="n"/>
      <c r="M28" s="18">
        <f>IF(OR(D28="",E28=""),"",IF(E28&lt;D28,"",E28-D28+1))</f>
        <v/>
      </c>
      <c r="N28" s="18">
        <f>IF(OR(B28="",C28="",D28="",E28=""),"",IF(COUNTIFS('Academic Terms'!$A$6:$A$101,B28,'Academic Terms'!$B$6:$B$101,C28)&lt;&gt;1,"Term not found",IF(OR(D28&lt;SUMIFS('Academic Terms'!$C$6:$C$101,'Academic Terms'!$A$6:$A$101,B28,'Academic Terms'!$B$6:$B$101,C28),E28&gt;SUMIFS('Academic Terms'!$D$6:$D$101,'Academic Terms'!$A$6:$A$101,B28,'Academic Terms'!$B$6:$B$101,C28)),"Yes","No")))</f>
        <v/>
      </c>
      <c r="O28" s="18">
        <f>IF(OR(A28="",B28="",D28="",E28="",J28="",K28="Cancelled"),"",IF(SUMPRODUCT(--($A$6:$A$205&lt;&gt;A28),--($B$6:$B$205=B28),--($J$6:$J$205=J28),--($D$6:$D$205&lt;=E28),--($E$6:$E$205&gt;=D28),--($K$6:$K$205&lt;&gt;"Cancelled"))&gt;0,"Yes","No"))</f>
        <v/>
      </c>
      <c r="P28" s="18">
        <f>IF(COUNTA(A28:L28)=0,"",IF(OR(A28="",B28="",C28="",D28="",E28="",F28="",G28="",K28=""),"Missing required fields",IF(COUNTIF($A$6:$A$205,A28)&gt;1,"Duplicate Event ID",IF(E28&lt;D28,"End date before start date",IF(N28="Term not found","Term not found",IF(N28="Yes","Outside term",IF(O28="Yes","Owner conflict",IF(AND(E28&lt;Dashboard!$B$4,K28&lt;&gt;"Completed",K28&lt;&gt;"Cancelled"),"Past event not completed",""))))))))</f>
        <v/>
      </c>
    </row>
    <row r="29">
      <c r="A29" s="16" t="n"/>
      <c r="B29" s="16" t="n"/>
      <c r="C29" s="16" t="n"/>
      <c r="D29" s="26" t="n"/>
      <c r="E29" s="26" t="n"/>
      <c r="F29" s="16" t="n"/>
      <c r="G29" s="16" t="n"/>
      <c r="H29" s="16" t="n"/>
      <c r="I29" s="16" t="n"/>
      <c r="J29" s="16" t="n"/>
      <c r="K29" s="16" t="n"/>
      <c r="L29" s="16" t="n"/>
      <c r="M29" s="18">
        <f>IF(OR(D29="",E29=""),"",IF(E29&lt;D29,"",E29-D29+1))</f>
        <v/>
      </c>
      <c r="N29" s="18">
        <f>IF(OR(B29="",C29="",D29="",E29=""),"",IF(COUNTIFS('Academic Terms'!$A$6:$A$101,B29,'Academic Terms'!$B$6:$B$101,C29)&lt;&gt;1,"Term not found",IF(OR(D29&lt;SUMIFS('Academic Terms'!$C$6:$C$101,'Academic Terms'!$A$6:$A$101,B29,'Academic Terms'!$B$6:$B$101,C29),E29&gt;SUMIFS('Academic Terms'!$D$6:$D$101,'Academic Terms'!$A$6:$A$101,B29,'Academic Terms'!$B$6:$B$101,C29)),"Yes","No")))</f>
        <v/>
      </c>
      <c r="O29" s="18">
        <f>IF(OR(A29="",B29="",D29="",E29="",J29="",K29="Cancelled"),"",IF(SUMPRODUCT(--($A$6:$A$205&lt;&gt;A29),--($B$6:$B$205=B29),--($J$6:$J$205=J29),--($D$6:$D$205&lt;=E29),--($E$6:$E$205&gt;=D29),--($K$6:$K$205&lt;&gt;"Cancelled"))&gt;0,"Yes","No"))</f>
        <v/>
      </c>
      <c r="P29" s="18">
        <f>IF(COUNTA(A29:L29)=0,"",IF(OR(A29="",B29="",C29="",D29="",E29="",F29="",G29="",K29=""),"Missing required fields",IF(COUNTIF($A$6:$A$205,A29)&gt;1,"Duplicate Event ID",IF(E29&lt;D29,"End date before start date",IF(N29="Term not found","Term not found",IF(N29="Yes","Outside term",IF(O29="Yes","Owner conflict",IF(AND(E29&lt;Dashboard!$B$4,K29&lt;&gt;"Completed",K29&lt;&gt;"Cancelled"),"Past event not completed",""))))))))</f>
        <v/>
      </c>
    </row>
    <row r="30">
      <c r="A30" s="16" t="n"/>
      <c r="B30" s="16" t="n"/>
      <c r="C30" s="16" t="n"/>
      <c r="D30" s="26" t="n"/>
      <c r="E30" s="26" t="n"/>
      <c r="F30" s="16" t="n"/>
      <c r="G30" s="16" t="n"/>
      <c r="H30" s="16" t="n"/>
      <c r="I30" s="16" t="n"/>
      <c r="J30" s="16" t="n"/>
      <c r="K30" s="16" t="n"/>
      <c r="L30" s="16" t="n"/>
      <c r="M30" s="18">
        <f>IF(OR(D30="",E30=""),"",IF(E30&lt;D30,"",E30-D30+1))</f>
        <v/>
      </c>
      <c r="N30" s="18">
        <f>IF(OR(B30="",C30="",D30="",E30=""),"",IF(COUNTIFS('Academic Terms'!$A$6:$A$101,B30,'Academic Terms'!$B$6:$B$101,C30)&lt;&gt;1,"Term not found",IF(OR(D30&lt;SUMIFS('Academic Terms'!$C$6:$C$101,'Academic Terms'!$A$6:$A$101,B30,'Academic Terms'!$B$6:$B$101,C30),E30&gt;SUMIFS('Academic Terms'!$D$6:$D$101,'Academic Terms'!$A$6:$A$101,B30,'Academic Terms'!$B$6:$B$101,C30)),"Yes","No")))</f>
        <v/>
      </c>
      <c r="O30" s="18">
        <f>IF(OR(A30="",B30="",D30="",E30="",J30="",K30="Cancelled"),"",IF(SUMPRODUCT(--($A$6:$A$205&lt;&gt;A30),--($B$6:$B$205=B30),--($J$6:$J$205=J30),--($D$6:$D$205&lt;=E30),--($E$6:$E$205&gt;=D30),--($K$6:$K$205&lt;&gt;"Cancelled"))&gt;0,"Yes","No"))</f>
        <v/>
      </c>
      <c r="P30" s="18">
        <f>IF(COUNTA(A30:L30)=0,"",IF(OR(A30="",B30="",C30="",D30="",E30="",F30="",G30="",K30=""),"Missing required fields",IF(COUNTIF($A$6:$A$205,A30)&gt;1,"Duplicate Event ID",IF(E30&lt;D30,"End date before start date",IF(N30="Term not found","Term not found",IF(N30="Yes","Outside term",IF(O30="Yes","Owner conflict",IF(AND(E30&lt;Dashboard!$B$4,K30&lt;&gt;"Completed",K30&lt;&gt;"Cancelled"),"Past event not completed",""))))))))</f>
        <v/>
      </c>
    </row>
    <row r="31">
      <c r="A31" s="16" t="n"/>
      <c r="B31" s="16" t="n"/>
      <c r="C31" s="16" t="n"/>
      <c r="D31" s="26" t="n"/>
      <c r="E31" s="26" t="n"/>
      <c r="F31" s="16" t="n"/>
      <c r="G31" s="16" t="n"/>
      <c r="H31" s="16" t="n"/>
      <c r="I31" s="16" t="n"/>
      <c r="J31" s="16" t="n"/>
      <c r="K31" s="16" t="n"/>
      <c r="L31" s="16" t="n"/>
      <c r="M31" s="18">
        <f>IF(OR(D31="",E31=""),"",IF(E31&lt;D31,"",E31-D31+1))</f>
        <v/>
      </c>
      <c r="N31" s="18">
        <f>IF(OR(B31="",C31="",D31="",E31=""),"",IF(COUNTIFS('Academic Terms'!$A$6:$A$101,B31,'Academic Terms'!$B$6:$B$101,C31)&lt;&gt;1,"Term not found",IF(OR(D31&lt;SUMIFS('Academic Terms'!$C$6:$C$101,'Academic Terms'!$A$6:$A$101,B31,'Academic Terms'!$B$6:$B$101,C31),E31&gt;SUMIFS('Academic Terms'!$D$6:$D$101,'Academic Terms'!$A$6:$A$101,B31,'Academic Terms'!$B$6:$B$101,C31)),"Yes","No")))</f>
        <v/>
      </c>
      <c r="O31" s="18">
        <f>IF(OR(A31="",B31="",D31="",E31="",J31="",K31="Cancelled"),"",IF(SUMPRODUCT(--($A$6:$A$205&lt;&gt;A31),--($B$6:$B$205=B31),--($J$6:$J$205=J31),--($D$6:$D$205&lt;=E31),--($E$6:$E$205&gt;=D31),--($K$6:$K$205&lt;&gt;"Cancelled"))&gt;0,"Yes","No"))</f>
        <v/>
      </c>
      <c r="P31" s="18">
        <f>IF(COUNTA(A31:L31)=0,"",IF(OR(A31="",B31="",C31="",D31="",E31="",F31="",G31="",K31=""),"Missing required fields",IF(COUNTIF($A$6:$A$205,A31)&gt;1,"Duplicate Event ID",IF(E31&lt;D31,"End date before start date",IF(N31="Term not found","Term not found",IF(N31="Yes","Outside term",IF(O31="Yes","Owner conflict",IF(AND(E31&lt;Dashboard!$B$4,K31&lt;&gt;"Completed",K31&lt;&gt;"Cancelled"),"Past event not completed",""))))))))</f>
        <v/>
      </c>
    </row>
    <row r="32">
      <c r="A32" s="16" t="n"/>
      <c r="B32" s="16" t="n"/>
      <c r="C32" s="16" t="n"/>
      <c r="D32" s="26" t="n"/>
      <c r="E32" s="26" t="n"/>
      <c r="F32" s="16" t="n"/>
      <c r="G32" s="16" t="n"/>
      <c r="H32" s="16" t="n"/>
      <c r="I32" s="16" t="n"/>
      <c r="J32" s="16" t="n"/>
      <c r="K32" s="16" t="n"/>
      <c r="L32" s="16" t="n"/>
      <c r="M32" s="18">
        <f>IF(OR(D32="",E32=""),"",IF(E32&lt;D32,"",E32-D32+1))</f>
        <v/>
      </c>
      <c r="N32" s="18">
        <f>IF(OR(B32="",C32="",D32="",E32=""),"",IF(COUNTIFS('Academic Terms'!$A$6:$A$101,B32,'Academic Terms'!$B$6:$B$101,C32)&lt;&gt;1,"Term not found",IF(OR(D32&lt;SUMIFS('Academic Terms'!$C$6:$C$101,'Academic Terms'!$A$6:$A$101,B32,'Academic Terms'!$B$6:$B$101,C32),E32&gt;SUMIFS('Academic Terms'!$D$6:$D$101,'Academic Terms'!$A$6:$A$101,B32,'Academic Terms'!$B$6:$B$101,C32)),"Yes","No")))</f>
        <v/>
      </c>
      <c r="O32" s="18">
        <f>IF(OR(A32="",B32="",D32="",E32="",J32="",K32="Cancelled"),"",IF(SUMPRODUCT(--($A$6:$A$205&lt;&gt;A32),--($B$6:$B$205=B32),--($J$6:$J$205=J32),--($D$6:$D$205&lt;=E32),--($E$6:$E$205&gt;=D32),--($K$6:$K$205&lt;&gt;"Cancelled"))&gt;0,"Yes","No"))</f>
        <v/>
      </c>
      <c r="P32" s="18">
        <f>IF(COUNTA(A32:L32)=0,"",IF(OR(A32="",B32="",C32="",D32="",E32="",F32="",G32="",K32=""),"Missing required fields",IF(COUNTIF($A$6:$A$205,A32)&gt;1,"Duplicate Event ID",IF(E32&lt;D32,"End date before start date",IF(N32="Term not found","Term not found",IF(N32="Yes","Outside term",IF(O32="Yes","Owner conflict",IF(AND(E32&lt;Dashboard!$B$4,K32&lt;&gt;"Completed",K32&lt;&gt;"Cancelled"),"Past event not completed",""))))))))</f>
        <v/>
      </c>
    </row>
    <row r="33">
      <c r="A33" s="16" t="n"/>
      <c r="B33" s="16" t="n"/>
      <c r="C33" s="16" t="n"/>
      <c r="D33" s="26" t="n"/>
      <c r="E33" s="26" t="n"/>
      <c r="F33" s="16" t="n"/>
      <c r="G33" s="16" t="n"/>
      <c r="H33" s="16" t="n"/>
      <c r="I33" s="16" t="n"/>
      <c r="J33" s="16" t="n"/>
      <c r="K33" s="16" t="n"/>
      <c r="L33" s="16" t="n"/>
      <c r="M33" s="18">
        <f>IF(OR(D33="",E33=""),"",IF(E33&lt;D33,"",E33-D33+1))</f>
        <v/>
      </c>
      <c r="N33" s="18">
        <f>IF(OR(B33="",C33="",D33="",E33=""),"",IF(COUNTIFS('Academic Terms'!$A$6:$A$101,B33,'Academic Terms'!$B$6:$B$101,C33)&lt;&gt;1,"Term not found",IF(OR(D33&lt;SUMIFS('Academic Terms'!$C$6:$C$101,'Academic Terms'!$A$6:$A$101,B33,'Academic Terms'!$B$6:$B$101,C33),E33&gt;SUMIFS('Academic Terms'!$D$6:$D$101,'Academic Terms'!$A$6:$A$101,B33,'Academic Terms'!$B$6:$B$101,C33)),"Yes","No")))</f>
        <v/>
      </c>
      <c r="O33" s="18">
        <f>IF(OR(A33="",B33="",D33="",E33="",J33="",K33="Cancelled"),"",IF(SUMPRODUCT(--($A$6:$A$205&lt;&gt;A33),--($B$6:$B$205=B33),--($J$6:$J$205=J33),--($D$6:$D$205&lt;=E33),--($E$6:$E$205&gt;=D33),--($K$6:$K$205&lt;&gt;"Cancelled"))&gt;0,"Yes","No"))</f>
        <v/>
      </c>
      <c r="P33" s="18">
        <f>IF(COUNTA(A33:L33)=0,"",IF(OR(A33="",B33="",C33="",D33="",E33="",F33="",G33="",K33=""),"Missing required fields",IF(COUNTIF($A$6:$A$205,A33)&gt;1,"Duplicate Event ID",IF(E33&lt;D33,"End date before start date",IF(N33="Term not found","Term not found",IF(N33="Yes","Outside term",IF(O33="Yes","Owner conflict",IF(AND(E33&lt;Dashboard!$B$4,K33&lt;&gt;"Completed",K33&lt;&gt;"Cancelled"),"Past event not completed",""))))))))</f>
        <v/>
      </c>
    </row>
    <row r="34">
      <c r="A34" s="16" t="n"/>
      <c r="B34" s="16" t="n"/>
      <c r="C34" s="16" t="n"/>
      <c r="D34" s="26" t="n"/>
      <c r="E34" s="26" t="n"/>
      <c r="F34" s="16" t="n"/>
      <c r="G34" s="16" t="n"/>
      <c r="H34" s="16" t="n"/>
      <c r="I34" s="16" t="n"/>
      <c r="J34" s="16" t="n"/>
      <c r="K34" s="16" t="n"/>
      <c r="L34" s="16" t="n"/>
      <c r="M34" s="18">
        <f>IF(OR(D34="",E34=""),"",IF(E34&lt;D34,"",E34-D34+1))</f>
        <v/>
      </c>
      <c r="N34" s="18">
        <f>IF(OR(B34="",C34="",D34="",E34=""),"",IF(COUNTIFS('Academic Terms'!$A$6:$A$101,B34,'Academic Terms'!$B$6:$B$101,C34)&lt;&gt;1,"Term not found",IF(OR(D34&lt;SUMIFS('Academic Terms'!$C$6:$C$101,'Academic Terms'!$A$6:$A$101,B34,'Academic Terms'!$B$6:$B$101,C34),E34&gt;SUMIFS('Academic Terms'!$D$6:$D$101,'Academic Terms'!$A$6:$A$101,B34,'Academic Terms'!$B$6:$B$101,C34)),"Yes","No")))</f>
        <v/>
      </c>
      <c r="O34" s="18">
        <f>IF(OR(A34="",B34="",D34="",E34="",J34="",K34="Cancelled"),"",IF(SUMPRODUCT(--($A$6:$A$205&lt;&gt;A34),--($B$6:$B$205=B34),--($J$6:$J$205=J34),--($D$6:$D$205&lt;=E34),--($E$6:$E$205&gt;=D34),--($K$6:$K$205&lt;&gt;"Cancelled"))&gt;0,"Yes","No"))</f>
        <v/>
      </c>
      <c r="P34" s="18">
        <f>IF(COUNTA(A34:L34)=0,"",IF(OR(A34="",B34="",C34="",D34="",E34="",F34="",G34="",K34=""),"Missing required fields",IF(COUNTIF($A$6:$A$205,A34)&gt;1,"Duplicate Event ID",IF(E34&lt;D34,"End date before start date",IF(N34="Term not found","Term not found",IF(N34="Yes","Outside term",IF(O34="Yes","Owner conflict",IF(AND(E34&lt;Dashboard!$B$4,K34&lt;&gt;"Completed",K34&lt;&gt;"Cancelled"),"Past event not completed",""))))))))</f>
        <v/>
      </c>
    </row>
    <row r="35">
      <c r="A35" s="16" t="n"/>
      <c r="B35" s="16" t="n"/>
      <c r="C35" s="16" t="n"/>
      <c r="D35" s="26" t="n"/>
      <c r="E35" s="26" t="n"/>
      <c r="F35" s="16" t="n"/>
      <c r="G35" s="16" t="n"/>
      <c r="H35" s="16" t="n"/>
      <c r="I35" s="16" t="n"/>
      <c r="J35" s="16" t="n"/>
      <c r="K35" s="16" t="n"/>
      <c r="L35" s="16" t="n"/>
      <c r="M35" s="18">
        <f>IF(OR(D35="",E35=""),"",IF(E35&lt;D35,"",E35-D35+1))</f>
        <v/>
      </c>
      <c r="N35" s="18">
        <f>IF(OR(B35="",C35="",D35="",E35=""),"",IF(COUNTIFS('Academic Terms'!$A$6:$A$101,B35,'Academic Terms'!$B$6:$B$101,C35)&lt;&gt;1,"Term not found",IF(OR(D35&lt;SUMIFS('Academic Terms'!$C$6:$C$101,'Academic Terms'!$A$6:$A$101,B35,'Academic Terms'!$B$6:$B$101,C35),E35&gt;SUMIFS('Academic Terms'!$D$6:$D$101,'Academic Terms'!$A$6:$A$101,B35,'Academic Terms'!$B$6:$B$101,C35)),"Yes","No")))</f>
        <v/>
      </c>
      <c r="O35" s="18">
        <f>IF(OR(A35="",B35="",D35="",E35="",J35="",K35="Cancelled"),"",IF(SUMPRODUCT(--($A$6:$A$205&lt;&gt;A35),--($B$6:$B$205=B35),--($J$6:$J$205=J35),--($D$6:$D$205&lt;=E35),--($E$6:$E$205&gt;=D35),--($K$6:$K$205&lt;&gt;"Cancelled"))&gt;0,"Yes","No"))</f>
        <v/>
      </c>
      <c r="P35" s="18">
        <f>IF(COUNTA(A35:L35)=0,"",IF(OR(A35="",B35="",C35="",D35="",E35="",F35="",G35="",K35=""),"Missing required fields",IF(COUNTIF($A$6:$A$205,A35)&gt;1,"Duplicate Event ID",IF(E35&lt;D35,"End date before start date",IF(N35="Term not found","Term not found",IF(N35="Yes","Outside term",IF(O35="Yes","Owner conflict",IF(AND(E35&lt;Dashboard!$B$4,K35&lt;&gt;"Completed",K35&lt;&gt;"Cancelled"),"Past event not completed",""))))))))</f>
        <v/>
      </c>
    </row>
    <row r="36">
      <c r="A36" s="16" t="n"/>
      <c r="B36" s="16" t="n"/>
      <c r="C36" s="16" t="n"/>
      <c r="D36" s="26" t="n"/>
      <c r="E36" s="26" t="n"/>
      <c r="F36" s="16" t="n"/>
      <c r="G36" s="16" t="n"/>
      <c r="H36" s="16" t="n"/>
      <c r="I36" s="16" t="n"/>
      <c r="J36" s="16" t="n"/>
      <c r="K36" s="16" t="n"/>
      <c r="L36" s="16" t="n"/>
      <c r="M36" s="18">
        <f>IF(OR(D36="",E36=""),"",IF(E36&lt;D36,"",E36-D36+1))</f>
        <v/>
      </c>
      <c r="N36" s="18">
        <f>IF(OR(B36="",C36="",D36="",E36=""),"",IF(COUNTIFS('Academic Terms'!$A$6:$A$101,B36,'Academic Terms'!$B$6:$B$101,C36)&lt;&gt;1,"Term not found",IF(OR(D36&lt;SUMIFS('Academic Terms'!$C$6:$C$101,'Academic Terms'!$A$6:$A$101,B36,'Academic Terms'!$B$6:$B$101,C36),E36&gt;SUMIFS('Academic Terms'!$D$6:$D$101,'Academic Terms'!$A$6:$A$101,B36,'Academic Terms'!$B$6:$B$101,C36)),"Yes","No")))</f>
        <v/>
      </c>
      <c r="O36" s="18">
        <f>IF(OR(A36="",B36="",D36="",E36="",J36="",K36="Cancelled"),"",IF(SUMPRODUCT(--($A$6:$A$205&lt;&gt;A36),--($B$6:$B$205=B36),--($J$6:$J$205=J36),--($D$6:$D$205&lt;=E36),--($E$6:$E$205&gt;=D36),--($K$6:$K$205&lt;&gt;"Cancelled"))&gt;0,"Yes","No"))</f>
        <v/>
      </c>
      <c r="P36" s="18">
        <f>IF(COUNTA(A36:L36)=0,"",IF(OR(A36="",B36="",C36="",D36="",E36="",F36="",G36="",K36=""),"Missing required fields",IF(COUNTIF($A$6:$A$205,A36)&gt;1,"Duplicate Event ID",IF(E36&lt;D36,"End date before start date",IF(N36="Term not found","Term not found",IF(N36="Yes","Outside term",IF(O36="Yes","Owner conflict",IF(AND(E36&lt;Dashboard!$B$4,K36&lt;&gt;"Completed",K36&lt;&gt;"Cancelled"),"Past event not completed",""))))))))</f>
        <v/>
      </c>
    </row>
    <row r="37">
      <c r="A37" s="16" t="n"/>
      <c r="B37" s="16" t="n"/>
      <c r="C37" s="16" t="n"/>
      <c r="D37" s="26" t="n"/>
      <c r="E37" s="26" t="n"/>
      <c r="F37" s="16" t="n"/>
      <c r="G37" s="16" t="n"/>
      <c r="H37" s="16" t="n"/>
      <c r="I37" s="16" t="n"/>
      <c r="J37" s="16" t="n"/>
      <c r="K37" s="16" t="n"/>
      <c r="L37" s="16" t="n"/>
      <c r="M37" s="18">
        <f>IF(OR(D37="",E37=""),"",IF(E37&lt;D37,"",E37-D37+1))</f>
        <v/>
      </c>
      <c r="N37" s="18">
        <f>IF(OR(B37="",C37="",D37="",E37=""),"",IF(COUNTIFS('Academic Terms'!$A$6:$A$101,B37,'Academic Terms'!$B$6:$B$101,C37)&lt;&gt;1,"Term not found",IF(OR(D37&lt;SUMIFS('Academic Terms'!$C$6:$C$101,'Academic Terms'!$A$6:$A$101,B37,'Academic Terms'!$B$6:$B$101,C37),E37&gt;SUMIFS('Academic Terms'!$D$6:$D$101,'Academic Terms'!$A$6:$A$101,B37,'Academic Terms'!$B$6:$B$101,C37)),"Yes","No")))</f>
        <v/>
      </c>
      <c r="O37" s="18">
        <f>IF(OR(A37="",B37="",D37="",E37="",J37="",K37="Cancelled"),"",IF(SUMPRODUCT(--($A$6:$A$205&lt;&gt;A37),--($B$6:$B$205=B37),--($J$6:$J$205=J37),--($D$6:$D$205&lt;=E37),--($E$6:$E$205&gt;=D37),--($K$6:$K$205&lt;&gt;"Cancelled"))&gt;0,"Yes","No"))</f>
        <v/>
      </c>
      <c r="P37" s="18">
        <f>IF(COUNTA(A37:L37)=0,"",IF(OR(A37="",B37="",C37="",D37="",E37="",F37="",G37="",K37=""),"Missing required fields",IF(COUNTIF($A$6:$A$205,A37)&gt;1,"Duplicate Event ID",IF(E37&lt;D37,"End date before start date",IF(N37="Term not found","Term not found",IF(N37="Yes","Outside term",IF(O37="Yes","Owner conflict",IF(AND(E37&lt;Dashboard!$B$4,K37&lt;&gt;"Completed",K37&lt;&gt;"Cancelled"),"Past event not completed",""))))))))</f>
        <v/>
      </c>
    </row>
    <row r="38">
      <c r="A38" s="16" t="n"/>
      <c r="B38" s="16" t="n"/>
      <c r="C38" s="16" t="n"/>
      <c r="D38" s="26" t="n"/>
      <c r="E38" s="26" t="n"/>
      <c r="F38" s="16" t="n"/>
      <c r="G38" s="16" t="n"/>
      <c r="H38" s="16" t="n"/>
      <c r="I38" s="16" t="n"/>
      <c r="J38" s="16" t="n"/>
      <c r="K38" s="16" t="n"/>
      <c r="L38" s="16" t="n"/>
      <c r="M38" s="18">
        <f>IF(OR(D38="",E38=""),"",IF(E38&lt;D38,"",E38-D38+1))</f>
        <v/>
      </c>
      <c r="N38" s="18">
        <f>IF(OR(B38="",C38="",D38="",E38=""),"",IF(COUNTIFS('Academic Terms'!$A$6:$A$101,B38,'Academic Terms'!$B$6:$B$101,C38)&lt;&gt;1,"Term not found",IF(OR(D38&lt;SUMIFS('Academic Terms'!$C$6:$C$101,'Academic Terms'!$A$6:$A$101,B38,'Academic Terms'!$B$6:$B$101,C38),E38&gt;SUMIFS('Academic Terms'!$D$6:$D$101,'Academic Terms'!$A$6:$A$101,B38,'Academic Terms'!$B$6:$B$101,C38)),"Yes","No")))</f>
        <v/>
      </c>
      <c r="O38" s="18">
        <f>IF(OR(A38="",B38="",D38="",E38="",J38="",K38="Cancelled"),"",IF(SUMPRODUCT(--($A$6:$A$205&lt;&gt;A38),--($B$6:$B$205=B38),--($J$6:$J$205=J38),--($D$6:$D$205&lt;=E38),--($E$6:$E$205&gt;=D38),--($K$6:$K$205&lt;&gt;"Cancelled"))&gt;0,"Yes","No"))</f>
        <v/>
      </c>
      <c r="P38" s="18">
        <f>IF(COUNTA(A38:L38)=0,"",IF(OR(A38="",B38="",C38="",D38="",E38="",F38="",G38="",K38=""),"Missing required fields",IF(COUNTIF($A$6:$A$205,A38)&gt;1,"Duplicate Event ID",IF(E38&lt;D38,"End date before start date",IF(N38="Term not found","Term not found",IF(N38="Yes","Outside term",IF(O38="Yes","Owner conflict",IF(AND(E38&lt;Dashboard!$B$4,K38&lt;&gt;"Completed",K38&lt;&gt;"Cancelled"),"Past event not completed",""))))))))</f>
        <v/>
      </c>
    </row>
    <row r="39">
      <c r="A39" s="16" t="n"/>
      <c r="B39" s="16" t="n"/>
      <c r="C39" s="16" t="n"/>
      <c r="D39" s="26" t="n"/>
      <c r="E39" s="26" t="n"/>
      <c r="F39" s="16" t="n"/>
      <c r="G39" s="16" t="n"/>
      <c r="H39" s="16" t="n"/>
      <c r="I39" s="16" t="n"/>
      <c r="J39" s="16" t="n"/>
      <c r="K39" s="16" t="n"/>
      <c r="L39" s="16" t="n"/>
      <c r="M39" s="18">
        <f>IF(OR(D39="",E39=""),"",IF(E39&lt;D39,"",E39-D39+1))</f>
        <v/>
      </c>
      <c r="N39" s="18">
        <f>IF(OR(B39="",C39="",D39="",E39=""),"",IF(COUNTIFS('Academic Terms'!$A$6:$A$101,B39,'Academic Terms'!$B$6:$B$101,C39)&lt;&gt;1,"Term not found",IF(OR(D39&lt;SUMIFS('Academic Terms'!$C$6:$C$101,'Academic Terms'!$A$6:$A$101,B39,'Academic Terms'!$B$6:$B$101,C39),E39&gt;SUMIFS('Academic Terms'!$D$6:$D$101,'Academic Terms'!$A$6:$A$101,B39,'Academic Terms'!$B$6:$B$101,C39)),"Yes","No")))</f>
        <v/>
      </c>
      <c r="O39" s="18">
        <f>IF(OR(A39="",B39="",D39="",E39="",J39="",K39="Cancelled"),"",IF(SUMPRODUCT(--($A$6:$A$205&lt;&gt;A39),--($B$6:$B$205=B39),--($J$6:$J$205=J39),--($D$6:$D$205&lt;=E39),--($E$6:$E$205&gt;=D39),--($K$6:$K$205&lt;&gt;"Cancelled"))&gt;0,"Yes","No"))</f>
        <v/>
      </c>
      <c r="P39" s="18">
        <f>IF(COUNTA(A39:L39)=0,"",IF(OR(A39="",B39="",C39="",D39="",E39="",F39="",G39="",K39=""),"Missing required fields",IF(COUNTIF($A$6:$A$205,A39)&gt;1,"Duplicate Event ID",IF(E39&lt;D39,"End date before start date",IF(N39="Term not found","Term not found",IF(N39="Yes","Outside term",IF(O39="Yes","Owner conflict",IF(AND(E39&lt;Dashboard!$B$4,K39&lt;&gt;"Completed",K39&lt;&gt;"Cancelled"),"Past event not completed",""))))))))</f>
        <v/>
      </c>
    </row>
    <row r="40">
      <c r="A40" s="16" t="n"/>
      <c r="B40" s="16" t="n"/>
      <c r="C40" s="16" t="n"/>
      <c r="D40" s="26" t="n"/>
      <c r="E40" s="26" t="n"/>
      <c r="F40" s="16" t="n"/>
      <c r="G40" s="16" t="n"/>
      <c r="H40" s="16" t="n"/>
      <c r="I40" s="16" t="n"/>
      <c r="J40" s="16" t="n"/>
      <c r="K40" s="16" t="n"/>
      <c r="L40" s="16" t="n"/>
      <c r="M40" s="18">
        <f>IF(OR(D40="",E40=""),"",IF(E40&lt;D40,"",E40-D40+1))</f>
        <v/>
      </c>
      <c r="N40" s="18">
        <f>IF(OR(B40="",C40="",D40="",E40=""),"",IF(COUNTIFS('Academic Terms'!$A$6:$A$101,B40,'Academic Terms'!$B$6:$B$101,C40)&lt;&gt;1,"Term not found",IF(OR(D40&lt;SUMIFS('Academic Terms'!$C$6:$C$101,'Academic Terms'!$A$6:$A$101,B40,'Academic Terms'!$B$6:$B$101,C40),E40&gt;SUMIFS('Academic Terms'!$D$6:$D$101,'Academic Terms'!$A$6:$A$101,B40,'Academic Terms'!$B$6:$B$101,C40)),"Yes","No")))</f>
        <v/>
      </c>
      <c r="O40" s="18">
        <f>IF(OR(A40="",B40="",D40="",E40="",J40="",K40="Cancelled"),"",IF(SUMPRODUCT(--($A$6:$A$205&lt;&gt;A40),--($B$6:$B$205=B40),--($J$6:$J$205=J40),--($D$6:$D$205&lt;=E40),--($E$6:$E$205&gt;=D40),--($K$6:$K$205&lt;&gt;"Cancelled"))&gt;0,"Yes","No"))</f>
        <v/>
      </c>
      <c r="P40" s="18">
        <f>IF(COUNTA(A40:L40)=0,"",IF(OR(A40="",B40="",C40="",D40="",E40="",F40="",G40="",K40=""),"Missing required fields",IF(COUNTIF($A$6:$A$205,A40)&gt;1,"Duplicate Event ID",IF(E40&lt;D40,"End date before start date",IF(N40="Term not found","Term not found",IF(N40="Yes","Outside term",IF(O40="Yes","Owner conflict",IF(AND(E40&lt;Dashboard!$B$4,K40&lt;&gt;"Completed",K40&lt;&gt;"Cancelled"),"Past event not completed",""))))))))</f>
        <v/>
      </c>
    </row>
    <row r="41">
      <c r="A41" s="16" t="n"/>
      <c r="B41" s="16" t="n"/>
      <c r="C41" s="16" t="n"/>
      <c r="D41" s="26" t="n"/>
      <c r="E41" s="26" t="n"/>
      <c r="F41" s="16" t="n"/>
      <c r="G41" s="16" t="n"/>
      <c r="H41" s="16" t="n"/>
      <c r="I41" s="16" t="n"/>
      <c r="J41" s="16" t="n"/>
      <c r="K41" s="16" t="n"/>
      <c r="L41" s="16" t="n"/>
      <c r="M41" s="18">
        <f>IF(OR(D41="",E41=""),"",IF(E41&lt;D41,"",E41-D41+1))</f>
        <v/>
      </c>
      <c r="N41" s="18">
        <f>IF(OR(B41="",C41="",D41="",E41=""),"",IF(COUNTIFS('Academic Terms'!$A$6:$A$101,B41,'Academic Terms'!$B$6:$B$101,C41)&lt;&gt;1,"Term not found",IF(OR(D41&lt;SUMIFS('Academic Terms'!$C$6:$C$101,'Academic Terms'!$A$6:$A$101,B41,'Academic Terms'!$B$6:$B$101,C41),E41&gt;SUMIFS('Academic Terms'!$D$6:$D$101,'Academic Terms'!$A$6:$A$101,B41,'Academic Terms'!$B$6:$B$101,C41)),"Yes","No")))</f>
        <v/>
      </c>
      <c r="O41" s="18">
        <f>IF(OR(A41="",B41="",D41="",E41="",J41="",K41="Cancelled"),"",IF(SUMPRODUCT(--($A$6:$A$205&lt;&gt;A41),--($B$6:$B$205=B41),--($J$6:$J$205=J41),--($D$6:$D$205&lt;=E41),--($E$6:$E$205&gt;=D41),--($K$6:$K$205&lt;&gt;"Cancelled"))&gt;0,"Yes","No"))</f>
        <v/>
      </c>
      <c r="P41" s="18">
        <f>IF(COUNTA(A41:L41)=0,"",IF(OR(A41="",B41="",C41="",D41="",E41="",F41="",G41="",K41=""),"Missing required fields",IF(COUNTIF($A$6:$A$205,A41)&gt;1,"Duplicate Event ID",IF(E41&lt;D41,"End date before start date",IF(N41="Term not found","Term not found",IF(N41="Yes","Outside term",IF(O41="Yes","Owner conflict",IF(AND(E41&lt;Dashboard!$B$4,K41&lt;&gt;"Completed",K41&lt;&gt;"Cancelled"),"Past event not completed",""))))))))</f>
        <v/>
      </c>
    </row>
    <row r="42">
      <c r="A42" s="16" t="n"/>
      <c r="B42" s="16" t="n"/>
      <c r="C42" s="16" t="n"/>
      <c r="D42" s="26" t="n"/>
      <c r="E42" s="26" t="n"/>
      <c r="F42" s="16" t="n"/>
      <c r="G42" s="16" t="n"/>
      <c r="H42" s="16" t="n"/>
      <c r="I42" s="16" t="n"/>
      <c r="J42" s="16" t="n"/>
      <c r="K42" s="16" t="n"/>
      <c r="L42" s="16" t="n"/>
      <c r="M42" s="18">
        <f>IF(OR(D42="",E42=""),"",IF(E42&lt;D42,"",E42-D42+1))</f>
        <v/>
      </c>
      <c r="N42" s="18">
        <f>IF(OR(B42="",C42="",D42="",E42=""),"",IF(COUNTIFS('Academic Terms'!$A$6:$A$101,B42,'Academic Terms'!$B$6:$B$101,C42)&lt;&gt;1,"Term not found",IF(OR(D42&lt;SUMIFS('Academic Terms'!$C$6:$C$101,'Academic Terms'!$A$6:$A$101,B42,'Academic Terms'!$B$6:$B$101,C42),E42&gt;SUMIFS('Academic Terms'!$D$6:$D$101,'Academic Terms'!$A$6:$A$101,B42,'Academic Terms'!$B$6:$B$101,C42)),"Yes","No")))</f>
        <v/>
      </c>
      <c r="O42" s="18">
        <f>IF(OR(A42="",B42="",D42="",E42="",J42="",K42="Cancelled"),"",IF(SUMPRODUCT(--($A$6:$A$205&lt;&gt;A42),--($B$6:$B$205=B42),--($J$6:$J$205=J42),--($D$6:$D$205&lt;=E42),--($E$6:$E$205&gt;=D42),--($K$6:$K$205&lt;&gt;"Cancelled"))&gt;0,"Yes","No"))</f>
        <v/>
      </c>
      <c r="P42" s="18">
        <f>IF(COUNTA(A42:L42)=0,"",IF(OR(A42="",B42="",C42="",D42="",E42="",F42="",G42="",K42=""),"Missing required fields",IF(COUNTIF($A$6:$A$205,A42)&gt;1,"Duplicate Event ID",IF(E42&lt;D42,"End date before start date",IF(N42="Term not found","Term not found",IF(N42="Yes","Outside term",IF(O42="Yes","Owner conflict",IF(AND(E42&lt;Dashboard!$B$4,K42&lt;&gt;"Completed",K42&lt;&gt;"Cancelled"),"Past event not completed",""))))))))</f>
        <v/>
      </c>
    </row>
    <row r="43">
      <c r="A43" s="16" t="n"/>
      <c r="B43" s="16" t="n"/>
      <c r="C43" s="16" t="n"/>
      <c r="D43" s="26" t="n"/>
      <c r="E43" s="26" t="n"/>
      <c r="F43" s="16" t="n"/>
      <c r="G43" s="16" t="n"/>
      <c r="H43" s="16" t="n"/>
      <c r="I43" s="16" t="n"/>
      <c r="J43" s="16" t="n"/>
      <c r="K43" s="16" t="n"/>
      <c r="L43" s="16" t="n"/>
      <c r="M43" s="18">
        <f>IF(OR(D43="",E43=""),"",IF(E43&lt;D43,"",E43-D43+1))</f>
        <v/>
      </c>
      <c r="N43" s="18">
        <f>IF(OR(B43="",C43="",D43="",E43=""),"",IF(COUNTIFS('Academic Terms'!$A$6:$A$101,B43,'Academic Terms'!$B$6:$B$101,C43)&lt;&gt;1,"Term not found",IF(OR(D43&lt;SUMIFS('Academic Terms'!$C$6:$C$101,'Academic Terms'!$A$6:$A$101,B43,'Academic Terms'!$B$6:$B$101,C43),E43&gt;SUMIFS('Academic Terms'!$D$6:$D$101,'Academic Terms'!$A$6:$A$101,B43,'Academic Terms'!$B$6:$B$101,C43)),"Yes","No")))</f>
        <v/>
      </c>
      <c r="O43" s="18">
        <f>IF(OR(A43="",B43="",D43="",E43="",J43="",K43="Cancelled"),"",IF(SUMPRODUCT(--($A$6:$A$205&lt;&gt;A43),--($B$6:$B$205=B43),--($J$6:$J$205=J43),--($D$6:$D$205&lt;=E43),--($E$6:$E$205&gt;=D43),--($K$6:$K$205&lt;&gt;"Cancelled"))&gt;0,"Yes","No"))</f>
        <v/>
      </c>
      <c r="P43" s="18">
        <f>IF(COUNTA(A43:L43)=0,"",IF(OR(A43="",B43="",C43="",D43="",E43="",F43="",G43="",K43=""),"Missing required fields",IF(COUNTIF($A$6:$A$205,A43)&gt;1,"Duplicate Event ID",IF(E43&lt;D43,"End date before start date",IF(N43="Term not found","Term not found",IF(N43="Yes","Outside term",IF(O43="Yes","Owner conflict",IF(AND(E43&lt;Dashboard!$B$4,K43&lt;&gt;"Completed",K43&lt;&gt;"Cancelled"),"Past event not completed",""))))))))</f>
        <v/>
      </c>
    </row>
    <row r="44">
      <c r="A44" s="16" t="n"/>
      <c r="B44" s="16" t="n"/>
      <c r="C44" s="16" t="n"/>
      <c r="D44" s="26" t="n"/>
      <c r="E44" s="26" t="n"/>
      <c r="F44" s="16" t="n"/>
      <c r="G44" s="16" t="n"/>
      <c r="H44" s="16" t="n"/>
      <c r="I44" s="16" t="n"/>
      <c r="J44" s="16" t="n"/>
      <c r="K44" s="16" t="n"/>
      <c r="L44" s="16" t="n"/>
      <c r="M44" s="18">
        <f>IF(OR(D44="",E44=""),"",IF(E44&lt;D44,"",E44-D44+1))</f>
        <v/>
      </c>
      <c r="N44" s="18">
        <f>IF(OR(B44="",C44="",D44="",E44=""),"",IF(COUNTIFS('Academic Terms'!$A$6:$A$101,B44,'Academic Terms'!$B$6:$B$101,C44)&lt;&gt;1,"Term not found",IF(OR(D44&lt;SUMIFS('Academic Terms'!$C$6:$C$101,'Academic Terms'!$A$6:$A$101,B44,'Academic Terms'!$B$6:$B$101,C44),E44&gt;SUMIFS('Academic Terms'!$D$6:$D$101,'Academic Terms'!$A$6:$A$101,B44,'Academic Terms'!$B$6:$B$101,C44)),"Yes","No")))</f>
        <v/>
      </c>
      <c r="O44" s="18">
        <f>IF(OR(A44="",B44="",D44="",E44="",J44="",K44="Cancelled"),"",IF(SUMPRODUCT(--($A$6:$A$205&lt;&gt;A44),--($B$6:$B$205=B44),--($J$6:$J$205=J44),--($D$6:$D$205&lt;=E44),--($E$6:$E$205&gt;=D44),--($K$6:$K$205&lt;&gt;"Cancelled"))&gt;0,"Yes","No"))</f>
        <v/>
      </c>
      <c r="P44" s="18">
        <f>IF(COUNTA(A44:L44)=0,"",IF(OR(A44="",B44="",C44="",D44="",E44="",F44="",G44="",K44=""),"Missing required fields",IF(COUNTIF($A$6:$A$205,A44)&gt;1,"Duplicate Event ID",IF(E44&lt;D44,"End date before start date",IF(N44="Term not found","Term not found",IF(N44="Yes","Outside term",IF(O44="Yes","Owner conflict",IF(AND(E44&lt;Dashboard!$B$4,K44&lt;&gt;"Completed",K44&lt;&gt;"Cancelled"),"Past event not completed",""))))))))</f>
        <v/>
      </c>
    </row>
    <row r="45">
      <c r="A45" s="16" t="n"/>
      <c r="B45" s="16" t="n"/>
      <c r="C45" s="16" t="n"/>
      <c r="D45" s="26" t="n"/>
      <c r="E45" s="26" t="n"/>
      <c r="F45" s="16" t="n"/>
      <c r="G45" s="16" t="n"/>
      <c r="H45" s="16" t="n"/>
      <c r="I45" s="16" t="n"/>
      <c r="J45" s="16" t="n"/>
      <c r="K45" s="16" t="n"/>
      <c r="L45" s="16" t="n"/>
      <c r="M45" s="18">
        <f>IF(OR(D45="",E45=""),"",IF(E45&lt;D45,"",E45-D45+1))</f>
        <v/>
      </c>
      <c r="N45" s="18">
        <f>IF(OR(B45="",C45="",D45="",E45=""),"",IF(COUNTIFS('Academic Terms'!$A$6:$A$101,B45,'Academic Terms'!$B$6:$B$101,C45)&lt;&gt;1,"Term not found",IF(OR(D45&lt;SUMIFS('Academic Terms'!$C$6:$C$101,'Academic Terms'!$A$6:$A$101,B45,'Academic Terms'!$B$6:$B$101,C45),E45&gt;SUMIFS('Academic Terms'!$D$6:$D$101,'Academic Terms'!$A$6:$A$101,B45,'Academic Terms'!$B$6:$B$101,C45)),"Yes","No")))</f>
        <v/>
      </c>
      <c r="O45" s="18">
        <f>IF(OR(A45="",B45="",D45="",E45="",J45="",K45="Cancelled"),"",IF(SUMPRODUCT(--($A$6:$A$205&lt;&gt;A45),--($B$6:$B$205=B45),--($J$6:$J$205=J45),--($D$6:$D$205&lt;=E45),--($E$6:$E$205&gt;=D45),--($K$6:$K$205&lt;&gt;"Cancelled"))&gt;0,"Yes","No"))</f>
        <v/>
      </c>
      <c r="P45" s="18">
        <f>IF(COUNTA(A45:L45)=0,"",IF(OR(A45="",B45="",C45="",D45="",E45="",F45="",G45="",K45=""),"Missing required fields",IF(COUNTIF($A$6:$A$205,A45)&gt;1,"Duplicate Event ID",IF(E45&lt;D45,"End date before start date",IF(N45="Term not found","Term not found",IF(N45="Yes","Outside term",IF(O45="Yes","Owner conflict",IF(AND(E45&lt;Dashboard!$B$4,K45&lt;&gt;"Completed",K45&lt;&gt;"Cancelled"),"Past event not completed",""))))))))</f>
        <v/>
      </c>
    </row>
    <row r="46">
      <c r="A46" s="16" t="n"/>
      <c r="B46" s="16" t="n"/>
      <c r="C46" s="16" t="n"/>
      <c r="D46" s="26" t="n"/>
      <c r="E46" s="26" t="n"/>
      <c r="F46" s="16" t="n"/>
      <c r="G46" s="16" t="n"/>
      <c r="H46" s="16" t="n"/>
      <c r="I46" s="16" t="n"/>
      <c r="J46" s="16" t="n"/>
      <c r="K46" s="16" t="n"/>
      <c r="L46" s="16" t="n"/>
      <c r="M46" s="18">
        <f>IF(OR(D46="",E46=""),"",IF(E46&lt;D46,"",E46-D46+1))</f>
        <v/>
      </c>
      <c r="N46" s="18">
        <f>IF(OR(B46="",C46="",D46="",E46=""),"",IF(COUNTIFS('Academic Terms'!$A$6:$A$101,B46,'Academic Terms'!$B$6:$B$101,C46)&lt;&gt;1,"Term not found",IF(OR(D46&lt;SUMIFS('Academic Terms'!$C$6:$C$101,'Academic Terms'!$A$6:$A$101,B46,'Academic Terms'!$B$6:$B$101,C46),E46&gt;SUMIFS('Academic Terms'!$D$6:$D$101,'Academic Terms'!$A$6:$A$101,B46,'Academic Terms'!$B$6:$B$101,C46)),"Yes","No")))</f>
        <v/>
      </c>
      <c r="O46" s="18">
        <f>IF(OR(A46="",B46="",D46="",E46="",J46="",K46="Cancelled"),"",IF(SUMPRODUCT(--($A$6:$A$205&lt;&gt;A46),--($B$6:$B$205=B46),--($J$6:$J$205=J46),--($D$6:$D$205&lt;=E46),--($E$6:$E$205&gt;=D46),--($K$6:$K$205&lt;&gt;"Cancelled"))&gt;0,"Yes","No"))</f>
        <v/>
      </c>
      <c r="P46" s="18">
        <f>IF(COUNTA(A46:L46)=0,"",IF(OR(A46="",B46="",C46="",D46="",E46="",F46="",G46="",K46=""),"Missing required fields",IF(COUNTIF($A$6:$A$205,A46)&gt;1,"Duplicate Event ID",IF(E46&lt;D46,"End date before start date",IF(N46="Term not found","Term not found",IF(N46="Yes","Outside term",IF(O46="Yes","Owner conflict",IF(AND(E46&lt;Dashboard!$B$4,K46&lt;&gt;"Completed",K46&lt;&gt;"Cancelled"),"Past event not completed",""))))))))</f>
        <v/>
      </c>
    </row>
    <row r="47">
      <c r="A47" s="16" t="n"/>
      <c r="B47" s="16" t="n"/>
      <c r="C47" s="16" t="n"/>
      <c r="D47" s="26" t="n"/>
      <c r="E47" s="26" t="n"/>
      <c r="F47" s="16" t="n"/>
      <c r="G47" s="16" t="n"/>
      <c r="H47" s="16" t="n"/>
      <c r="I47" s="16" t="n"/>
      <c r="J47" s="16" t="n"/>
      <c r="K47" s="16" t="n"/>
      <c r="L47" s="16" t="n"/>
      <c r="M47" s="18">
        <f>IF(OR(D47="",E47=""),"",IF(E47&lt;D47,"",E47-D47+1))</f>
        <v/>
      </c>
      <c r="N47" s="18">
        <f>IF(OR(B47="",C47="",D47="",E47=""),"",IF(COUNTIFS('Academic Terms'!$A$6:$A$101,B47,'Academic Terms'!$B$6:$B$101,C47)&lt;&gt;1,"Term not found",IF(OR(D47&lt;SUMIFS('Academic Terms'!$C$6:$C$101,'Academic Terms'!$A$6:$A$101,B47,'Academic Terms'!$B$6:$B$101,C47),E47&gt;SUMIFS('Academic Terms'!$D$6:$D$101,'Academic Terms'!$A$6:$A$101,B47,'Academic Terms'!$B$6:$B$101,C47)),"Yes","No")))</f>
        <v/>
      </c>
      <c r="O47" s="18">
        <f>IF(OR(A47="",B47="",D47="",E47="",J47="",K47="Cancelled"),"",IF(SUMPRODUCT(--($A$6:$A$205&lt;&gt;A47),--($B$6:$B$205=B47),--($J$6:$J$205=J47),--($D$6:$D$205&lt;=E47),--($E$6:$E$205&gt;=D47),--($K$6:$K$205&lt;&gt;"Cancelled"))&gt;0,"Yes","No"))</f>
        <v/>
      </c>
      <c r="P47" s="18">
        <f>IF(COUNTA(A47:L47)=0,"",IF(OR(A47="",B47="",C47="",D47="",E47="",F47="",G47="",K47=""),"Missing required fields",IF(COUNTIF($A$6:$A$205,A47)&gt;1,"Duplicate Event ID",IF(E47&lt;D47,"End date before start date",IF(N47="Term not found","Term not found",IF(N47="Yes","Outside term",IF(O47="Yes","Owner conflict",IF(AND(E47&lt;Dashboard!$B$4,K47&lt;&gt;"Completed",K47&lt;&gt;"Cancelled"),"Past event not completed",""))))))))</f>
        <v/>
      </c>
    </row>
    <row r="48">
      <c r="A48" s="16" t="n"/>
      <c r="B48" s="16" t="n"/>
      <c r="C48" s="16" t="n"/>
      <c r="D48" s="26" t="n"/>
      <c r="E48" s="26" t="n"/>
      <c r="F48" s="16" t="n"/>
      <c r="G48" s="16" t="n"/>
      <c r="H48" s="16" t="n"/>
      <c r="I48" s="16" t="n"/>
      <c r="J48" s="16" t="n"/>
      <c r="K48" s="16" t="n"/>
      <c r="L48" s="16" t="n"/>
      <c r="M48" s="18">
        <f>IF(OR(D48="",E48=""),"",IF(E48&lt;D48,"",E48-D48+1))</f>
        <v/>
      </c>
      <c r="N48" s="18">
        <f>IF(OR(B48="",C48="",D48="",E48=""),"",IF(COUNTIFS('Academic Terms'!$A$6:$A$101,B48,'Academic Terms'!$B$6:$B$101,C48)&lt;&gt;1,"Term not found",IF(OR(D48&lt;SUMIFS('Academic Terms'!$C$6:$C$101,'Academic Terms'!$A$6:$A$101,B48,'Academic Terms'!$B$6:$B$101,C48),E48&gt;SUMIFS('Academic Terms'!$D$6:$D$101,'Academic Terms'!$A$6:$A$101,B48,'Academic Terms'!$B$6:$B$101,C48)),"Yes","No")))</f>
        <v/>
      </c>
      <c r="O48" s="18">
        <f>IF(OR(A48="",B48="",D48="",E48="",J48="",K48="Cancelled"),"",IF(SUMPRODUCT(--($A$6:$A$205&lt;&gt;A48),--($B$6:$B$205=B48),--($J$6:$J$205=J48),--($D$6:$D$205&lt;=E48),--($E$6:$E$205&gt;=D48),--($K$6:$K$205&lt;&gt;"Cancelled"))&gt;0,"Yes","No"))</f>
        <v/>
      </c>
      <c r="P48" s="18">
        <f>IF(COUNTA(A48:L48)=0,"",IF(OR(A48="",B48="",C48="",D48="",E48="",F48="",G48="",K48=""),"Missing required fields",IF(COUNTIF($A$6:$A$205,A48)&gt;1,"Duplicate Event ID",IF(E48&lt;D48,"End date before start date",IF(N48="Term not found","Term not found",IF(N48="Yes","Outside term",IF(O48="Yes","Owner conflict",IF(AND(E48&lt;Dashboard!$B$4,K48&lt;&gt;"Completed",K48&lt;&gt;"Cancelled"),"Past event not completed",""))))))))</f>
        <v/>
      </c>
    </row>
    <row r="49">
      <c r="A49" s="16" t="n"/>
      <c r="B49" s="16" t="n"/>
      <c r="C49" s="16" t="n"/>
      <c r="D49" s="26" t="n"/>
      <c r="E49" s="26" t="n"/>
      <c r="F49" s="16" t="n"/>
      <c r="G49" s="16" t="n"/>
      <c r="H49" s="16" t="n"/>
      <c r="I49" s="16" t="n"/>
      <c r="J49" s="16" t="n"/>
      <c r="K49" s="16" t="n"/>
      <c r="L49" s="16" t="n"/>
      <c r="M49" s="18">
        <f>IF(OR(D49="",E49=""),"",IF(E49&lt;D49,"",E49-D49+1))</f>
        <v/>
      </c>
      <c r="N49" s="18">
        <f>IF(OR(B49="",C49="",D49="",E49=""),"",IF(COUNTIFS('Academic Terms'!$A$6:$A$101,B49,'Academic Terms'!$B$6:$B$101,C49)&lt;&gt;1,"Term not found",IF(OR(D49&lt;SUMIFS('Academic Terms'!$C$6:$C$101,'Academic Terms'!$A$6:$A$101,B49,'Academic Terms'!$B$6:$B$101,C49),E49&gt;SUMIFS('Academic Terms'!$D$6:$D$101,'Academic Terms'!$A$6:$A$101,B49,'Academic Terms'!$B$6:$B$101,C49)),"Yes","No")))</f>
        <v/>
      </c>
      <c r="O49" s="18">
        <f>IF(OR(A49="",B49="",D49="",E49="",J49="",K49="Cancelled"),"",IF(SUMPRODUCT(--($A$6:$A$205&lt;&gt;A49),--($B$6:$B$205=B49),--($J$6:$J$205=J49),--($D$6:$D$205&lt;=E49),--($E$6:$E$205&gt;=D49),--($K$6:$K$205&lt;&gt;"Cancelled"))&gt;0,"Yes","No"))</f>
        <v/>
      </c>
      <c r="P49" s="18">
        <f>IF(COUNTA(A49:L49)=0,"",IF(OR(A49="",B49="",C49="",D49="",E49="",F49="",G49="",K49=""),"Missing required fields",IF(COUNTIF($A$6:$A$205,A49)&gt;1,"Duplicate Event ID",IF(E49&lt;D49,"End date before start date",IF(N49="Term not found","Term not found",IF(N49="Yes","Outside term",IF(O49="Yes","Owner conflict",IF(AND(E49&lt;Dashboard!$B$4,K49&lt;&gt;"Completed",K49&lt;&gt;"Cancelled"),"Past event not completed",""))))))))</f>
        <v/>
      </c>
    </row>
    <row r="50">
      <c r="A50" s="16" t="n"/>
      <c r="B50" s="16" t="n"/>
      <c r="C50" s="16" t="n"/>
      <c r="D50" s="26" t="n"/>
      <c r="E50" s="26" t="n"/>
      <c r="F50" s="16" t="n"/>
      <c r="G50" s="16" t="n"/>
      <c r="H50" s="16" t="n"/>
      <c r="I50" s="16" t="n"/>
      <c r="J50" s="16" t="n"/>
      <c r="K50" s="16" t="n"/>
      <c r="L50" s="16" t="n"/>
      <c r="M50" s="18">
        <f>IF(OR(D50="",E50=""),"",IF(E50&lt;D50,"",E50-D50+1))</f>
        <v/>
      </c>
      <c r="N50" s="18">
        <f>IF(OR(B50="",C50="",D50="",E50=""),"",IF(COUNTIFS('Academic Terms'!$A$6:$A$101,B50,'Academic Terms'!$B$6:$B$101,C50)&lt;&gt;1,"Term not found",IF(OR(D50&lt;SUMIFS('Academic Terms'!$C$6:$C$101,'Academic Terms'!$A$6:$A$101,B50,'Academic Terms'!$B$6:$B$101,C50),E50&gt;SUMIFS('Academic Terms'!$D$6:$D$101,'Academic Terms'!$A$6:$A$101,B50,'Academic Terms'!$B$6:$B$101,C50)),"Yes","No")))</f>
        <v/>
      </c>
      <c r="O50" s="18">
        <f>IF(OR(A50="",B50="",D50="",E50="",J50="",K50="Cancelled"),"",IF(SUMPRODUCT(--($A$6:$A$205&lt;&gt;A50),--($B$6:$B$205=B50),--($J$6:$J$205=J50),--($D$6:$D$205&lt;=E50),--($E$6:$E$205&gt;=D50),--($K$6:$K$205&lt;&gt;"Cancelled"))&gt;0,"Yes","No"))</f>
        <v/>
      </c>
      <c r="P50" s="18">
        <f>IF(COUNTA(A50:L50)=0,"",IF(OR(A50="",B50="",C50="",D50="",E50="",F50="",G50="",K50=""),"Missing required fields",IF(COUNTIF($A$6:$A$205,A50)&gt;1,"Duplicate Event ID",IF(E50&lt;D50,"End date before start date",IF(N50="Term not found","Term not found",IF(N50="Yes","Outside term",IF(O50="Yes","Owner conflict",IF(AND(E50&lt;Dashboard!$B$4,K50&lt;&gt;"Completed",K50&lt;&gt;"Cancelled"),"Past event not completed",""))))))))</f>
        <v/>
      </c>
    </row>
    <row r="51">
      <c r="A51" s="16" t="n"/>
      <c r="B51" s="16" t="n"/>
      <c r="C51" s="16" t="n"/>
      <c r="D51" s="26" t="n"/>
      <c r="E51" s="26" t="n"/>
      <c r="F51" s="16" t="n"/>
      <c r="G51" s="16" t="n"/>
      <c r="H51" s="16" t="n"/>
      <c r="I51" s="16" t="n"/>
      <c r="J51" s="16" t="n"/>
      <c r="K51" s="16" t="n"/>
      <c r="L51" s="16" t="n"/>
      <c r="M51" s="18">
        <f>IF(OR(D51="",E51=""),"",IF(E51&lt;D51,"",E51-D51+1))</f>
        <v/>
      </c>
      <c r="N51" s="18">
        <f>IF(OR(B51="",C51="",D51="",E51=""),"",IF(COUNTIFS('Academic Terms'!$A$6:$A$101,B51,'Academic Terms'!$B$6:$B$101,C51)&lt;&gt;1,"Term not found",IF(OR(D51&lt;SUMIFS('Academic Terms'!$C$6:$C$101,'Academic Terms'!$A$6:$A$101,B51,'Academic Terms'!$B$6:$B$101,C51),E51&gt;SUMIFS('Academic Terms'!$D$6:$D$101,'Academic Terms'!$A$6:$A$101,B51,'Academic Terms'!$B$6:$B$101,C51)),"Yes","No")))</f>
        <v/>
      </c>
      <c r="O51" s="18">
        <f>IF(OR(A51="",B51="",D51="",E51="",J51="",K51="Cancelled"),"",IF(SUMPRODUCT(--($A$6:$A$205&lt;&gt;A51),--($B$6:$B$205=B51),--($J$6:$J$205=J51),--($D$6:$D$205&lt;=E51),--($E$6:$E$205&gt;=D51),--($K$6:$K$205&lt;&gt;"Cancelled"))&gt;0,"Yes","No"))</f>
        <v/>
      </c>
      <c r="P51" s="18">
        <f>IF(COUNTA(A51:L51)=0,"",IF(OR(A51="",B51="",C51="",D51="",E51="",F51="",G51="",K51=""),"Missing required fields",IF(COUNTIF($A$6:$A$205,A51)&gt;1,"Duplicate Event ID",IF(E51&lt;D51,"End date before start date",IF(N51="Term not found","Term not found",IF(N51="Yes","Outside term",IF(O51="Yes","Owner conflict",IF(AND(E51&lt;Dashboard!$B$4,K51&lt;&gt;"Completed",K51&lt;&gt;"Cancelled"),"Past event not completed",""))))))))</f>
        <v/>
      </c>
    </row>
    <row r="52">
      <c r="A52" s="16" t="n"/>
      <c r="B52" s="16" t="n"/>
      <c r="C52" s="16" t="n"/>
      <c r="D52" s="26" t="n"/>
      <c r="E52" s="26" t="n"/>
      <c r="F52" s="16" t="n"/>
      <c r="G52" s="16" t="n"/>
      <c r="H52" s="16" t="n"/>
      <c r="I52" s="16" t="n"/>
      <c r="J52" s="16" t="n"/>
      <c r="K52" s="16" t="n"/>
      <c r="L52" s="16" t="n"/>
      <c r="M52" s="18">
        <f>IF(OR(D52="",E52=""),"",IF(E52&lt;D52,"",E52-D52+1))</f>
        <v/>
      </c>
      <c r="N52" s="18">
        <f>IF(OR(B52="",C52="",D52="",E52=""),"",IF(COUNTIFS('Academic Terms'!$A$6:$A$101,B52,'Academic Terms'!$B$6:$B$101,C52)&lt;&gt;1,"Term not found",IF(OR(D52&lt;SUMIFS('Academic Terms'!$C$6:$C$101,'Academic Terms'!$A$6:$A$101,B52,'Academic Terms'!$B$6:$B$101,C52),E52&gt;SUMIFS('Academic Terms'!$D$6:$D$101,'Academic Terms'!$A$6:$A$101,B52,'Academic Terms'!$B$6:$B$101,C52)),"Yes","No")))</f>
        <v/>
      </c>
      <c r="O52" s="18">
        <f>IF(OR(A52="",B52="",D52="",E52="",J52="",K52="Cancelled"),"",IF(SUMPRODUCT(--($A$6:$A$205&lt;&gt;A52),--($B$6:$B$205=B52),--($J$6:$J$205=J52),--($D$6:$D$205&lt;=E52),--($E$6:$E$205&gt;=D52),--($K$6:$K$205&lt;&gt;"Cancelled"))&gt;0,"Yes","No"))</f>
        <v/>
      </c>
      <c r="P52" s="18">
        <f>IF(COUNTA(A52:L52)=0,"",IF(OR(A52="",B52="",C52="",D52="",E52="",F52="",G52="",K52=""),"Missing required fields",IF(COUNTIF($A$6:$A$205,A52)&gt;1,"Duplicate Event ID",IF(E52&lt;D52,"End date before start date",IF(N52="Term not found","Term not found",IF(N52="Yes","Outside term",IF(O52="Yes","Owner conflict",IF(AND(E52&lt;Dashboard!$B$4,K52&lt;&gt;"Completed",K52&lt;&gt;"Cancelled"),"Past event not completed",""))))))))</f>
        <v/>
      </c>
    </row>
    <row r="53">
      <c r="A53" s="16" t="n"/>
      <c r="B53" s="16" t="n"/>
      <c r="C53" s="16" t="n"/>
      <c r="D53" s="26" t="n"/>
      <c r="E53" s="26" t="n"/>
      <c r="F53" s="16" t="n"/>
      <c r="G53" s="16" t="n"/>
      <c r="H53" s="16" t="n"/>
      <c r="I53" s="16" t="n"/>
      <c r="J53" s="16" t="n"/>
      <c r="K53" s="16" t="n"/>
      <c r="L53" s="16" t="n"/>
      <c r="M53" s="18">
        <f>IF(OR(D53="",E53=""),"",IF(E53&lt;D53,"",E53-D53+1))</f>
        <v/>
      </c>
      <c r="N53" s="18">
        <f>IF(OR(B53="",C53="",D53="",E53=""),"",IF(COUNTIFS('Academic Terms'!$A$6:$A$101,B53,'Academic Terms'!$B$6:$B$101,C53)&lt;&gt;1,"Term not found",IF(OR(D53&lt;SUMIFS('Academic Terms'!$C$6:$C$101,'Academic Terms'!$A$6:$A$101,B53,'Academic Terms'!$B$6:$B$101,C53),E53&gt;SUMIFS('Academic Terms'!$D$6:$D$101,'Academic Terms'!$A$6:$A$101,B53,'Academic Terms'!$B$6:$B$101,C53)),"Yes","No")))</f>
        <v/>
      </c>
      <c r="O53" s="18">
        <f>IF(OR(A53="",B53="",D53="",E53="",J53="",K53="Cancelled"),"",IF(SUMPRODUCT(--($A$6:$A$205&lt;&gt;A53),--($B$6:$B$205=B53),--($J$6:$J$205=J53),--($D$6:$D$205&lt;=E53),--($E$6:$E$205&gt;=D53),--($K$6:$K$205&lt;&gt;"Cancelled"))&gt;0,"Yes","No"))</f>
        <v/>
      </c>
      <c r="P53" s="18">
        <f>IF(COUNTA(A53:L53)=0,"",IF(OR(A53="",B53="",C53="",D53="",E53="",F53="",G53="",K53=""),"Missing required fields",IF(COUNTIF($A$6:$A$205,A53)&gt;1,"Duplicate Event ID",IF(E53&lt;D53,"End date before start date",IF(N53="Term not found","Term not found",IF(N53="Yes","Outside term",IF(O53="Yes","Owner conflict",IF(AND(E53&lt;Dashboard!$B$4,K53&lt;&gt;"Completed",K53&lt;&gt;"Cancelled"),"Past event not completed",""))))))))</f>
        <v/>
      </c>
    </row>
    <row r="54">
      <c r="A54" s="16" t="n"/>
      <c r="B54" s="16" t="n"/>
      <c r="C54" s="16" t="n"/>
      <c r="D54" s="26" t="n"/>
      <c r="E54" s="26" t="n"/>
      <c r="F54" s="16" t="n"/>
      <c r="G54" s="16" t="n"/>
      <c r="H54" s="16" t="n"/>
      <c r="I54" s="16" t="n"/>
      <c r="J54" s="16" t="n"/>
      <c r="K54" s="16" t="n"/>
      <c r="L54" s="16" t="n"/>
      <c r="M54" s="18">
        <f>IF(OR(D54="",E54=""),"",IF(E54&lt;D54,"",E54-D54+1))</f>
        <v/>
      </c>
      <c r="N54" s="18">
        <f>IF(OR(B54="",C54="",D54="",E54=""),"",IF(COUNTIFS('Academic Terms'!$A$6:$A$101,B54,'Academic Terms'!$B$6:$B$101,C54)&lt;&gt;1,"Term not found",IF(OR(D54&lt;SUMIFS('Academic Terms'!$C$6:$C$101,'Academic Terms'!$A$6:$A$101,B54,'Academic Terms'!$B$6:$B$101,C54),E54&gt;SUMIFS('Academic Terms'!$D$6:$D$101,'Academic Terms'!$A$6:$A$101,B54,'Academic Terms'!$B$6:$B$101,C54)),"Yes","No")))</f>
        <v/>
      </c>
      <c r="O54" s="18">
        <f>IF(OR(A54="",B54="",D54="",E54="",J54="",K54="Cancelled"),"",IF(SUMPRODUCT(--($A$6:$A$205&lt;&gt;A54),--($B$6:$B$205=B54),--($J$6:$J$205=J54),--($D$6:$D$205&lt;=E54),--($E$6:$E$205&gt;=D54),--($K$6:$K$205&lt;&gt;"Cancelled"))&gt;0,"Yes","No"))</f>
        <v/>
      </c>
      <c r="P54" s="18">
        <f>IF(COUNTA(A54:L54)=0,"",IF(OR(A54="",B54="",C54="",D54="",E54="",F54="",G54="",K54=""),"Missing required fields",IF(COUNTIF($A$6:$A$205,A54)&gt;1,"Duplicate Event ID",IF(E54&lt;D54,"End date before start date",IF(N54="Term not found","Term not found",IF(N54="Yes","Outside term",IF(O54="Yes","Owner conflict",IF(AND(E54&lt;Dashboard!$B$4,K54&lt;&gt;"Completed",K54&lt;&gt;"Cancelled"),"Past event not completed",""))))))))</f>
        <v/>
      </c>
    </row>
    <row r="55">
      <c r="A55" s="16" t="n"/>
      <c r="B55" s="16" t="n"/>
      <c r="C55" s="16" t="n"/>
      <c r="D55" s="26" t="n"/>
      <c r="E55" s="26" t="n"/>
      <c r="F55" s="16" t="n"/>
      <c r="G55" s="16" t="n"/>
      <c r="H55" s="16" t="n"/>
      <c r="I55" s="16" t="n"/>
      <c r="J55" s="16" t="n"/>
      <c r="K55" s="16" t="n"/>
      <c r="L55" s="16" t="n"/>
      <c r="M55" s="18">
        <f>IF(OR(D55="",E55=""),"",IF(E55&lt;D55,"",E55-D55+1))</f>
        <v/>
      </c>
      <c r="N55" s="18">
        <f>IF(OR(B55="",C55="",D55="",E55=""),"",IF(COUNTIFS('Academic Terms'!$A$6:$A$101,B55,'Academic Terms'!$B$6:$B$101,C55)&lt;&gt;1,"Term not found",IF(OR(D55&lt;SUMIFS('Academic Terms'!$C$6:$C$101,'Academic Terms'!$A$6:$A$101,B55,'Academic Terms'!$B$6:$B$101,C55),E55&gt;SUMIFS('Academic Terms'!$D$6:$D$101,'Academic Terms'!$A$6:$A$101,B55,'Academic Terms'!$B$6:$B$101,C55)),"Yes","No")))</f>
        <v/>
      </c>
      <c r="O55" s="18">
        <f>IF(OR(A55="",B55="",D55="",E55="",J55="",K55="Cancelled"),"",IF(SUMPRODUCT(--($A$6:$A$205&lt;&gt;A55),--($B$6:$B$205=B55),--($J$6:$J$205=J55),--($D$6:$D$205&lt;=E55),--($E$6:$E$205&gt;=D55),--($K$6:$K$205&lt;&gt;"Cancelled"))&gt;0,"Yes","No"))</f>
        <v/>
      </c>
      <c r="P55" s="18">
        <f>IF(COUNTA(A55:L55)=0,"",IF(OR(A55="",B55="",C55="",D55="",E55="",F55="",G55="",K55=""),"Missing required fields",IF(COUNTIF($A$6:$A$205,A55)&gt;1,"Duplicate Event ID",IF(E55&lt;D55,"End date before start date",IF(N55="Term not found","Term not found",IF(N55="Yes","Outside term",IF(O55="Yes","Owner conflict",IF(AND(E55&lt;Dashboard!$B$4,K55&lt;&gt;"Completed",K55&lt;&gt;"Cancelled"),"Past event not completed",""))))))))</f>
        <v/>
      </c>
    </row>
    <row r="56">
      <c r="A56" s="16" t="n"/>
      <c r="B56" s="16" t="n"/>
      <c r="C56" s="16" t="n"/>
      <c r="D56" s="26" t="n"/>
      <c r="E56" s="26" t="n"/>
      <c r="F56" s="16" t="n"/>
      <c r="G56" s="16" t="n"/>
      <c r="H56" s="16" t="n"/>
      <c r="I56" s="16" t="n"/>
      <c r="J56" s="16" t="n"/>
      <c r="K56" s="16" t="n"/>
      <c r="L56" s="16" t="n"/>
      <c r="M56" s="18">
        <f>IF(OR(D56="",E56=""),"",IF(E56&lt;D56,"",E56-D56+1))</f>
        <v/>
      </c>
      <c r="N56" s="18">
        <f>IF(OR(B56="",C56="",D56="",E56=""),"",IF(COUNTIFS('Academic Terms'!$A$6:$A$101,B56,'Academic Terms'!$B$6:$B$101,C56)&lt;&gt;1,"Term not found",IF(OR(D56&lt;SUMIFS('Academic Terms'!$C$6:$C$101,'Academic Terms'!$A$6:$A$101,B56,'Academic Terms'!$B$6:$B$101,C56),E56&gt;SUMIFS('Academic Terms'!$D$6:$D$101,'Academic Terms'!$A$6:$A$101,B56,'Academic Terms'!$B$6:$B$101,C56)),"Yes","No")))</f>
        <v/>
      </c>
      <c r="O56" s="18">
        <f>IF(OR(A56="",B56="",D56="",E56="",J56="",K56="Cancelled"),"",IF(SUMPRODUCT(--($A$6:$A$205&lt;&gt;A56),--($B$6:$B$205=B56),--($J$6:$J$205=J56),--($D$6:$D$205&lt;=E56),--($E$6:$E$205&gt;=D56),--($K$6:$K$205&lt;&gt;"Cancelled"))&gt;0,"Yes","No"))</f>
        <v/>
      </c>
      <c r="P56" s="18">
        <f>IF(COUNTA(A56:L56)=0,"",IF(OR(A56="",B56="",C56="",D56="",E56="",F56="",G56="",K56=""),"Missing required fields",IF(COUNTIF($A$6:$A$205,A56)&gt;1,"Duplicate Event ID",IF(E56&lt;D56,"End date before start date",IF(N56="Term not found","Term not found",IF(N56="Yes","Outside term",IF(O56="Yes","Owner conflict",IF(AND(E56&lt;Dashboard!$B$4,K56&lt;&gt;"Completed",K56&lt;&gt;"Cancelled"),"Past event not completed",""))))))))</f>
        <v/>
      </c>
    </row>
    <row r="57">
      <c r="A57" s="16" t="n"/>
      <c r="B57" s="16" t="n"/>
      <c r="C57" s="16" t="n"/>
      <c r="D57" s="26" t="n"/>
      <c r="E57" s="26" t="n"/>
      <c r="F57" s="16" t="n"/>
      <c r="G57" s="16" t="n"/>
      <c r="H57" s="16" t="n"/>
      <c r="I57" s="16" t="n"/>
      <c r="J57" s="16" t="n"/>
      <c r="K57" s="16" t="n"/>
      <c r="L57" s="16" t="n"/>
      <c r="M57" s="18">
        <f>IF(OR(D57="",E57=""),"",IF(E57&lt;D57,"",E57-D57+1))</f>
        <v/>
      </c>
      <c r="N57" s="18">
        <f>IF(OR(B57="",C57="",D57="",E57=""),"",IF(COUNTIFS('Academic Terms'!$A$6:$A$101,B57,'Academic Terms'!$B$6:$B$101,C57)&lt;&gt;1,"Term not found",IF(OR(D57&lt;SUMIFS('Academic Terms'!$C$6:$C$101,'Academic Terms'!$A$6:$A$101,B57,'Academic Terms'!$B$6:$B$101,C57),E57&gt;SUMIFS('Academic Terms'!$D$6:$D$101,'Academic Terms'!$A$6:$A$101,B57,'Academic Terms'!$B$6:$B$101,C57)),"Yes","No")))</f>
        <v/>
      </c>
      <c r="O57" s="18">
        <f>IF(OR(A57="",B57="",D57="",E57="",J57="",K57="Cancelled"),"",IF(SUMPRODUCT(--($A$6:$A$205&lt;&gt;A57),--($B$6:$B$205=B57),--($J$6:$J$205=J57),--($D$6:$D$205&lt;=E57),--($E$6:$E$205&gt;=D57),--($K$6:$K$205&lt;&gt;"Cancelled"))&gt;0,"Yes","No"))</f>
        <v/>
      </c>
      <c r="P57" s="18">
        <f>IF(COUNTA(A57:L57)=0,"",IF(OR(A57="",B57="",C57="",D57="",E57="",F57="",G57="",K57=""),"Missing required fields",IF(COUNTIF($A$6:$A$205,A57)&gt;1,"Duplicate Event ID",IF(E57&lt;D57,"End date before start date",IF(N57="Term not found","Term not found",IF(N57="Yes","Outside term",IF(O57="Yes","Owner conflict",IF(AND(E57&lt;Dashboard!$B$4,K57&lt;&gt;"Completed",K57&lt;&gt;"Cancelled"),"Past event not completed",""))))))))</f>
        <v/>
      </c>
    </row>
    <row r="58">
      <c r="A58" s="16" t="n"/>
      <c r="B58" s="16" t="n"/>
      <c r="C58" s="16" t="n"/>
      <c r="D58" s="26" t="n"/>
      <c r="E58" s="26" t="n"/>
      <c r="F58" s="16" t="n"/>
      <c r="G58" s="16" t="n"/>
      <c r="H58" s="16" t="n"/>
      <c r="I58" s="16" t="n"/>
      <c r="J58" s="16" t="n"/>
      <c r="K58" s="16" t="n"/>
      <c r="L58" s="16" t="n"/>
      <c r="M58" s="18">
        <f>IF(OR(D58="",E58=""),"",IF(E58&lt;D58,"",E58-D58+1))</f>
        <v/>
      </c>
      <c r="N58" s="18">
        <f>IF(OR(B58="",C58="",D58="",E58=""),"",IF(COUNTIFS('Academic Terms'!$A$6:$A$101,B58,'Academic Terms'!$B$6:$B$101,C58)&lt;&gt;1,"Term not found",IF(OR(D58&lt;SUMIFS('Academic Terms'!$C$6:$C$101,'Academic Terms'!$A$6:$A$101,B58,'Academic Terms'!$B$6:$B$101,C58),E58&gt;SUMIFS('Academic Terms'!$D$6:$D$101,'Academic Terms'!$A$6:$A$101,B58,'Academic Terms'!$B$6:$B$101,C58)),"Yes","No")))</f>
        <v/>
      </c>
      <c r="O58" s="18">
        <f>IF(OR(A58="",B58="",D58="",E58="",J58="",K58="Cancelled"),"",IF(SUMPRODUCT(--($A$6:$A$205&lt;&gt;A58),--($B$6:$B$205=B58),--($J$6:$J$205=J58),--($D$6:$D$205&lt;=E58),--($E$6:$E$205&gt;=D58),--($K$6:$K$205&lt;&gt;"Cancelled"))&gt;0,"Yes","No"))</f>
        <v/>
      </c>
      <c r="P58" s="18">
        <f>IF(COUNTA(A58:L58)=0,"",IF(OR(A58="",B58="",C58="",D58="",E58="",F58="",G58="",K58=""),"Missing required fields",IF(COUNTIF($A$6:$A$205,A58)&gt;1,"Duplicate Event ID",IF(E58&lt;D58,"End date before start date",IF(N58="Term not found","Term not found",IF(N58="Yes","Outside term",IF(O58="Yes","Owner conflict",IF(AND(E58&lt;Dashboard!$B$4,K58&lt;&gt;"Completed",K58&lt;&gt;"Cancelled"),"Past event not completed",""))))))))</f>
        <v/>
      </c>
    </row>
    <row r="59">
      <c r="A59" s="16" t="n"/>
      <c r="B59" s="16" t="n"/>
      <c r="C59" s="16" t="n"/>
      <c r="D59" s="26" t="n"/>
      <c r="E59" s="26" t="n"/>
      <c r="F59" s="16" t="n"/>
      <c r="G59" s="16" t="n"/>
      <c r="H59" s="16" t="n"/>
      <c r="I59" s="16" t="n"/>
      <c r="J59" s="16" t="n"/>
      <c r="K59" s="16" t="n"/>
      <c r="L59" s="16" t="n"/>
      <c r="M59" s="18">
        <f>IF(OR(D59="",E59=""),"",IF(E59&lt;D59,"",E59-D59+1))</f>
        <v/>
      </c>
      <c r="N59" s="18">
        <f>IF(OR(B59="",C59="",D59="",E59=""),"",IF(COUNTIFS('Academic Terms'!$A$6:$A$101,B59,'Academic Terms'!$B$6:$B$101,C59)&lt;&gt;1,"Term not found",IF(OR(D59&lt;SUMIFS('Academic Terms'!$C$6:$C$101,'Academic Terms'!$A$6:$A$101,B59,'Academic Terms'!$B$6:$B$101,C59),E59&gt;SUMIFS('Academic Terms'!$D$6:$D$101,'Academic Terms'!$A$6:$A$101,B59,'Academic Terms'!$B$6:$B$101,C59)),"Yes","No")))</f>
        <v/>
      </c>
      <c r="O59" s="18">
        <f>IF(OR(A59="",B59="",D59="",E59="",J59="",K59="Cancelled"),"",IF(SUMPRODUCT(--($A$6:$A$205&lt;&gt;A59),--($B$6:$B$205=B59),--($J$6:$J$205=J59),--($D$6:$D$205&lt;=E59),--($E$6:$E$205&gt;=D59),--($K$6:$K$205&lt;&gt;"Cancelled"))&gt;0,"Yes","No"))</f>
        <v/>
      </c>
      <c r="P59" s="18">
        <f>IF(COUNTA(A59:L59)=0,"",IF(OR(A59="",B59="",C59="",D59="",E59="",F59="",G59="",K59=""),"Missing required fields",IF(COUNTIF($A$6:$A$205,A59)&gt;1,"Duplicate Event ID",IF(E59&lt;D59,"End date before start date",IF(N59="Term not found","Term not found",IF(N59="Yes","Outside term",IF(O59="Yes","Owner conflict",IF(AND(E59&lt;Dashboard!$B$4,K59&lt;&gt;"Completed",K59&lt;&gt;"Cancelled"),"Past event not completed",""))))))))</f>
        <v/>
      </c>
    </row>
    <row r="60">
      <c r="A60" s="16" t="n"/>
      <c r="B60" s="16" t="n"/>
      <c r="C60" s="16" t="n"/>
      <c r="D60" s="26" t="n"/>
      <c r="E60" s="26" t="n"/>
      <c r="F60" s="16" t="n"/>
      <c r="G60" s="16" t="n"/>
      <c r="H60" s="16" t="n"/>
      <c r="I60" s="16" t="n"/>
      <c r="J60" s="16" t="n"/>
      <c r="K60" s="16" t="n"/>
      <c r="L60" s="16" t="n"/>
      <c r="M60" s="18">
        <f>IF(OR(D60="",E60=""),"",IF(E60&lt;D60,"",E60-D60+1))</f>
        <v/>
      </c>
      <c r="N60" s="18">
        <f>IF(OR(B60="",C60="",D60="",E60=""),"",IF(COUNTIFS('Academic Terms'!$A$6:$A$101,B60,'Academic Terms'!$B$6:$B$101,C60)&lt;&gt;1,"Term not found",IF(OR(D60&lt;SUMIFS('Academic Terms'!$C$6:$C$101,'Academic Terms'!$A$6:$A$101,B60,'Academic Terms'!$B$6:$B$101,C60),E60&gt;SUMIFS('Academic Terms'!$D$6:$D$101,'Academic Terms'!$A$6:$A$101,B60,'Academic Terms'!$B$6:$B$101,C60)),"Yes","No")))</f>
        <v/>
      </c>
      <c r="O60" s="18">
        <f>IF(OR(A60="",B60="",D60="",E60="",J60="",K60="Cancelled"),"",IF(SUMPRODUCT(--($A$6:$A$205&lt;&gt;A60),--($B$6:$B$205=B60),--($J$6:$J$205=J60),--($D$6:$D$205&lt;=E60),--($E$6:$E$205&gt;=D60),--($K$6:$K$205&lt;&gt;"Cancelled"))&gt;0,"Yes","No"))</f>
        <v/>
      </c>
      <c r="P60" s="18">
        <f>IF(COUNTA(A60:L60)=0,"",IF(OR(A60="",B60="",C60="",D60="",E60="",F60="",G60="",K60=""),"Missing required fields",IF(COUNTIF($A$6:$A$205,A60)&gt;1,"Duplicate Event ID",IF(E60&lt;D60,"End date before start date",IF(N60="Term not found","Term not found",IF(N60="Yes","Outside term",IF(O60="Yes","Owner conflict",IF(AND(E60&lt;Dashboard!$B$4,K60&lt;&gt;"Completed",K60&lt;&gt;"Cancelled"),"Past event not completed",""))))))))</f>
        <v/>
      </c>
    </row>
    <row r="61">
      <c r="A61" s="16" t="n"/>
      <c r="B61" s="16" t="n"/>
      <c r="C61" s="16" t="n"/>
      <c r="D61" s="26" t="n"/>
      <c r="E61" s="26" t="n"/>
      <c r="F61" s="16" t="n"/>
      <c r="G61" s="16" t="n"/>
      <c r="H61" s="16" t="n"/>
      <c r="I61" s="16" t="n"/>
      <c r="J61" s="16" t="n"/>
      <c r="K61" s="16" t="n"/>
      <c r="L61" s="16" t="n"/>
      <c r="M61" s="18">
        <f>IF(OR(D61="",E61=""),"",IF(E61&lt;D61,"",E61-D61+1))</f>
        <v/>
      </c>
      <c r="N61" s="18">
        <f>IF(OR(B61="",C61="",D61="",E61=""),"",IF(COUNTIFS('Academic Terms'!$A$6:$A$101,B61,'Academic Terms'!$B$6:$B$101,C61)&lt;&gt;1,"Term not found",IF(OR(D61&lt;SUMIFS('Academic Terms'!$C$6:$C$101,'Academic Terms'!$A$6:$A$101,B61,'Academic Terms'!$B$6:$B$101,C61),E61&gt;SUMIFS('Academic Terms'!$D$6:$D$101,'Academic Terms'!$A$6:$A$101,B61,'Academic Terms'!$B$6:$B$101,C61)),"Yes","No")))</f>
        <v/>
      </c>
      <c r="O61" s="18">
        <f>IF(OR(A61="",B61="",D61="",E61="",J61="",K61="Cancelled"),"",IF(SUMPRODUCT(--($A$6:$A$205&lt;&gt;A61),--($B$6:$B$205=B61),--($J$6:$J$205=J61),--($D$6:$D$205&lt;=E61),--($E$6:$E$205&gt;=D61),--($K$6:$K$205&lt;&gt;"Cancelled"))&gt;0,"Yes","No"))</f>
        <v/>
      </c>
      <c r="P61" s="18">
        <f>IF(COUNTA(A61:L61)=0,"",IF(OR(A61="",B61="",C61="",D61="",E61="",F61="",G61="",K61=""),"Missing required fields",IF(COUNTIF($A$6:$A$205,A61)&gt;1,"Duplicate Event ID",IF(E61&lt;D61,"End date before start date",IF(N61="Term not found","Term not found",IF(N61="Yes","Outside term",IF(O61="Yes","Owner conflict",IF(AND(E61&lt;Dashboard!$B$4,K61&lt;&gt;"Completed",K61&lt;&gt;"Cancelled"),"Past event not completed",""))))))))</f>
        <v/>
      </c>
    </row>
    <row r="62">
      <c r="A62" s="16" t="n"/>
      <c r="B62" s="16" t="n"/>
      <c r="C62" s="16" t="n"/>
      <c r="D62" s="26" t="n"/>
      <c r="E62" s="26" t="n"/>
      <c r="F62" s="16" t="n"/>
      <c r="G62" s="16" t="n"/>
      <c r="H62" s="16" t="n"/>
      <c r="I62" s="16" t="n"/>
      <c r="J62" s="16" t="n"/>
      <c r="K62" s="16" t="n"/>
      <c r="L62" s="16" t="n"/>
      <c r="M62" s="18">
        <f>IF(OR(D62="",E62=""),"",IF(E62&lt;D62,"",E62-D62+1))</f>
        <v/>
      </c>
      <c r="N62" s="18">
        <f>IF(OR(B62="",C62="",D62="",E62=""),"",IF(COUNTIFS('Academic Terms'!$A$6:$A$101,B62,'Academic Terms'!$B$6:$B$101,C62)&lt;&gt;1,"Term not found",IF(OR(D62&lt;SUMIFS('Academic Terms'!$C$6:$C$101,'Academic Terms'!$A$6:$A$101,B62,'Academic Terms'!$B$6:$B$101,C62),E62&gt;SUMIFS('Academic Terms'!$D$6:$D$101,'Academic Terms'!$A$6:$A$101,B62,'Academic Terms'!$B$6:$B$101,C62)),"Yes","No")))</f>
        <v/>
      </c>
      <c r="O62" s="18">
        <f>IF(OR(A62="",B62="",D62="",E62="",J62="",K62="Cancelled"),"",IF(SUMPRODUCT(--($A$6:$A$205&lt;&gt;A62),--($B$6:$B$205=B62),--($J$6:$J$205=J62),--($D$6:$D$205&lt;=E62),--($E$6:$E$205&gt;=D62),--($K$6:$K$205&lt;&gt;"Cancelled"))&gt;0,"Yes","No"))</f>
        <v/>
      </c>
      <c r="P62" s="18">
        <f>IF(COUNTA(A62:L62)=0,"",IF(OR(A62="",B62="",C62="",D62="",E62="",F62="",G62="",K62=""),"Missing required fields",IF(COUNTIF($A$6:$A$205,A62)&gt;1,"Duplicate Event ID",IF(E62&lt;D62,"End date before start date",IF(N62="Term not found","Term not found",IF(N62="Yes","Outside term",IF(O62="Yes","Owner conflict",IF(AND(E62&lt;Dashboard!$B$4,K62&lt;&gt;"Completed",K62&lt;&gt;"Cancelled"),"Past event not completed",""))))))))</f>
        <v/>
      </c>
    </row>
    <row r="63">
      <c r="A63" s="16" t="n"/>
      <c r="B63" s="16" t="n"/>
      <c r="C63" s="16" t="n"/>
      <c r="D63" s="26" t="n"/>
      <c r="E63" s="26" t="n"/>
      <c r="F63" s="16" t="n"/>
      <c r="G63" s="16" t="n"/>
      <c r="H63" s="16" t="n"/>
      <c r="I63" s="16" t="n"/>
      <c r="J63" s="16" t="n"/>
      <c r="K63" s="16" t="n"/>
      <c r="L63" s="16" t="n"/>
      <c r="M63" s="18">
        <f>IF(OR(D63="",E63=""),"",IF(E63&lt;D63,"",E63-D63+1))</f>
        <v/>
      </c>
      <c r="N63" s="18">
        <f>IF(OR(B63="",C63="",D63="",E63=""),"",IF(COUNTIFS('Academic Terms'!$A$6:$A$101,B63,'Academic Terms'!$B$6:$B$101,C63)&lt;&gt;1,"Term not found",IF(OR(D63&lt;SUMIFS('Academic Terms'!$C$6:$C$101,'Academic Terms'!$A$6:$A$101,B63,'Academic Terms'!$B$6:$B$101,C63),E63&gt;SUMIFS('Academic Terms'!$D$6:$D$101,'Academic Terms'!$A$6:$A$101,B63,'Academic Terms'!$B$6:$B$101,C63)),"Yes","No")))</f>
        <v/>
      </c>
      <c r="O63" s="18">
        <f>IF(OR(A63="",B63="",D63="",E63="",J63="",K63="Cancelled"),"",IF(SUMPRODUCT(--($A$6:$A$205&lt;&gt;A63),--($B$6:$B$205=B63),--($J$6:$J$205=J63),--($D$6:$D$205&lt;=E63),--($E$6:$E$205&gt;=D63),--($K$6:$K$205&lt;&gt;"Cancelled"))&gt;0,"Yes","No"))</f>
        <v/>
      </c>
      <c r="P63" s="18">
        <f>IF(COUNTA(A63:L63)=0,"",IF(OR(A63="",B63="",C63="",D63="",E63="",F63="",G63="",K63=""),"Missing required fields",IF(COUNTIF($A$6:$A$205,A63)&gt;1,"Duplicate Event ID",IF(E63&lt;D63,"End date before start date",IF(N63="Term not found","Term not found",IF(N63="Yes","Outside term",IF(O63="Yes","Owner conflict",IF(AND(E63&lt;Dashboard!$B$4,K63&lt;&gt;"Completed",K63&lt;&gt;"Cancelled"),"Past event not completed",""))))))))</f>
        <v/>
      </c>
    </row>
    <row r="64">
      <c r="A64" s="16" t="n"/>
      <c r="B64" s="16" t="n"/>
      <c r="C64" s="16" t="n"/>
      <c r="D64" s="26" t="n"/>
      <c r="E64" s="26" t="n"/>
      <c r="F64" s="16" t="n"/>
      <c r="G64" s="16" t="n"/>
      <c r="H64" s="16" t="n"/>
      <c r="I64" s="16" t="n"/>
      <c r="J64" s="16" t="n"/>
      <c r="K64" s="16" t="n"/>
      <c r="L64" s="16" t="n"/>
      <c r="M64" s="18">
        <f>IF(OR(D64="",E64=""),"",IF(E64&lt;D64,"",E64-D64+1))</f>
        <v/>
      </c>
      <c r="N64" s="18">
        <f>IF(OR(B64="",C64="",D64="",E64=""),"",IF(COUNTIFS('Academic Terms'!$A$6:$A$101,B64,'Academic Terms'!$B$6:$B$101,C64)&lt;&gt;1,"Term not found",IF(OR(D64&lt;SUMIFS('Academic Terms'!$C$6:$C$101,'Academic Terms'!$A$6:$A$101,B64,'Academic Terms'!$B$6:$B$101,C64),E64&gt;SUMIFS('Academic Terms'!$D$6:$D$101,'Academic Terms'!$A$6:$A$101,B64,'Academic Terms'!$B$6:$B$101,C64)),"Yes","No")))</f>
        <v/>
      </c>
      <c r="O64" s="18">
        <f>IF(OR(A64="",B64="",D64="",E64="",J64="",K64="Cancelled"),"",IF(SUMPRODUCT(--($A$6:$A$205&lt;&gt;A64),--($B$6:$B$205=B64),--($J$6:$J$205=J64),--($D$6:$D$205&lt;=E64),--($E$6:$E$205&gt;=D64),--($K$6:$K$205&lt;&gt;"Cancelled"))&gt;0,"Yes","No"))</f>
        <v/>
      </c>
      <c r="P64" s="18">
        <f>IF(COUNTA(A64:L64)=0,"",IF(OR(A64="",B64="",C64="",D64="",E64="",F64="",G64="",K64=""),"Missing required fields",IF(COUNTIF($A$6:$A$205,A64)&gt;1,"Duplicate Event ID",IF(E64&lt;D64,"End date before start date",IF(N64="Term not found","Term not found",IF(N64="Yes","Outside term",IF(O64="Yes","Owner conflict",IF(AND(E64&lt;Dashboard!$B$4,K64&lt;&gt;"Completed",K64&lt;&gt;"Cancelled"),"Past event not completed",""))))))))</f>
        <v/>
      </c>
    </row>
    <row r="65">
      <c r="A65" s="16" t="n"/>
      <c r="B65" s="16" t="n"/>
      <c r="C65" s="16" t="n"/>
      <c r="D65" s="26" t="n"/>
      <c r="E65" s="26" t="n"/>
      <c r="F65" s="16" t="n"/>
      <c r="G65" s="16" t="n"/>
      <c r="H65" s="16" t="n"/>
      <c r="I65" s="16" t="n"/>
      <c r="J65" s="16" t="n"/>
      <c r="K65" s="16" t="n"/>
      <c r="L65" s="16" t="n"/>
      <c r="M65" s="18">
        <f>IF(OR(D65="",E65=""),"",IF(E65&lt;D65,"",E65-D65+1))</f>
        <v/>
      </c>
      <c r="N65" s="18">
        <f>IF(OR(B65="",C65="",D65="",E65=""),"",IF(COUNTIFS('Academic Terms'!$A$6:$A$101,B65,'Academic Terms'!$B$6:$B$101,C65)&lt;&gt;1,"Term not found",IF(OR(D65&lt;SUMIFS('Academic Terms'!$C$6:$C$101,'Academic Terms'!$A$6:$A$101,B65,'Academic Terms'!$B$6:$B$101,C65),E65&gt;SUMIFS('Academic Terms'!$D$6:$D$101,'Academic Terms'!$A$6:$A$101,B65,'Academic Terms'!$B$6:$B$101,C65)),"Yes","No")))</f>
        <v/>
      </c>
      <c r="O65" s="18">
        <f>IF(OR(A65="",B65="",D65="",E65="",J65="",K65="Cancelled"),"",IF(SUMPRODUCT(--($A$6:$A$205&lt;&gt;A65),--($B$6:$B$205=B65),--($J$6:$J$205=J65),--($D$6:$D$205&lt;=E65),--($E$6:$E$205&gt;=D65),--($K$6:$K$205&lt;&gt;"Cancelled"))&gt;0,"Yes","No"))</f>
        <v/>
      </c>
      <c r="P65" s="18">
        <f>IF(COUNTA(A65:L65)=0,"",IF(OR(A65="",B65="",C65="",D65="",E65="",F65="",G65="",K65=""),"Missing required fields",IF(COUNTIF($A$6:$A$205,A65)&gt;1,"Duplicate Event ID",IF(E65&lt;D65,"End date before start date",IF(N65="Term not found","Term not found",IF(N65="Yes","Outside term",IF(O65="Yes","Owner conflict",IF(AND(E65&lt;Dashboard!$B$4,K65&lt;&gt;"Completed",K65&lt;&gt;"Cancelled"),"Past event not completed",""))))))))</f>
        <v/>
      </c>
    </row>
    <row r="66">
      <c r="A66" s="16" t="n"/>
      <c r="B66" s="16" t="n"/>
      <c r="C66" s="16" t="n"/>
      <c r="D66" s="26" t="n"/>
      <c r="E66" s="26" t="n"/>
      <c r="F66" s="16" t="n"/>
      <c r="G66" s="16" t="n"/>
      <c r="H66" s="16" t="n"/>
      <c r="I66" s="16" t="n"/>
      <c r="J66" s="16" t="n"/>
      <c r="K66" s="16" t="n"/>
      <c r="L66" s="16" t="n"/>
      <c r="M66" s="18">
        <f>IF(OR(D66="",E66=""),"",IF(E66&lt;D66,"",E66-D66+1))</f>
        <v/>
      </c>
      <c r="N66" s="18">
        <f>IF(OR(B66="",C66="",D66="",E66=""),"",IF(COUNTIFS('Academic Terms'!$A$6:$A$101,B66,'Academic Terms'!$B$6:$B$101,C66)&lt;&gt;1,"Term not found",IF(OR(D66&lt;SUMIFS('Academic Terms'!$C$6:$C$101,'Academic Terms'!$A$6:$A$101,B66,'Academic Terms'!$B$6:$B$101,C66),E66&gt;SUMIFS('Academic Terms'!$D$6:$D$101,'Academic Terms'!$A$6:$A$101,B66,'Academic Terms'!$B$6:$B$101,C66)),"Yes","No")))</f>
        <v/>
      </c>
      <c r="O66" s="18">
        <f>IF(OR(A66="",B66="",D66="",E66="",J66="",K66="Cancelled"),"",IF(SUMPRODUCT(--($A$6:$A$205&lt;&gt;A66),--($B$6:$B$205=B66),--($J$6:$J$205=J66),--($D$6:$D$205&lt;=E66),--($E$6:$E$205&gt;=D66),--($K$6:$K$205&lt;&gt;"Cancelled"))&gt;0,"Yes","No"))</f>
        <v/>
      </c>
      <c r="P66" s="18">
        <f>IF(COUNTA(A66:L66)=0,"",IF(OR(A66="",B66="",C66="",D66="",E66="",F66="",G66="",K66=""),"Missing required fields",IF(COUNTIF($A$6:$A$205,A66)&gt;1,"Duplicate Event ID",IF(E66&lt;D66,"End date before start date",IF(N66="Term not found","Term not found",IF(N66="Yes","Outside term",IF(O66="Yes","Owner conflict",IF(AND(E66&lt;Dashboard!$B$4,K66&lt;&gt;"Completed",K66&lt;&gt;"Cancelled"),"Past event not completed",""))))))))</f>
        <v/>
      </c>
    </row>
    <row r="67">
      <c r="A67" s="16" t="n"/>
      <c r="B67" s="16" t="n"/>
      <c r="C67" s="16" t="n"/>
      <c r="D67" s="26" t="n"/>
      <c r="E67" s="26" t="n"/>
      <c r="F67" s="16" t="n"/>
      <c r="G67" s="16" t="n"/>
      <c r="H67" s="16" t="n"/>
      <c r="I67" s="16" t="n"/>
      <c r="J67" s="16" t="n"/>
      <c r="K67" s="16" t="n"/>
      <c r="L67" s="16" t="n"/>
      <c r="M67" s="18">
        <f>IF(OR(D67="",E67=""),"",IF(E67&lt;D67,"",E67-D67+1))</f>
        <v/>
      </c>
      <c r="N67" s="18">
        <f>IF(OR(B67="",C67="",D67="",E67=""),"",IF(COUNTIFS('Academic Terms'!$A$6:$A$101,B67,'Academic Terms'!$B$6:$B$101,C67)&lt;&gt;1,"Term not found",IF(OR(D67&lt;SUMIFS('Academic Terms'!$C$6:$C$101,'Academic Terms'!$A$6:$A$101,B67,'Academic Terms'!$B$6:$B$101,C67),E67&gt;SUMIFS('Academic Terms'!$D$6:$D$101,'Academic Terms'!$A$6:$A$101,B67,'Academic Terms'!$B$6:$B$101,C67)),"Yes","No")))</f>
        <v/>
      </c>
      <c r="O67" s="18">
        <f>IF(OR(A67="",B67="",D67="",E67="",J67="",K67="Cancelled"),"",IF(SUMPRODUCT(--($A$6:$A$205&lt;&gt;A67),--($B$6:$B$205=B67),--($J$6:$J$205=J67),--($D$6:$D$205&lt;=E67),--($E$6:$E$205&gt;=D67),--($K$6:$K$205&lt;&gt;"Cancelled"))&gt;0,"Yes","No"))</f>
        <v/>
      </c>
      <c r="P67" s="18">
        <f>IF(COUNTA(A67:L67)=0,"",IF(OR(A67="",B67="",C67="",D67="",E67="",F67="",G67="",K67=""),"Missing required fields",IF(COUNTIF($A$6:$A$205,A67)&gt;1,"Duplicate Event ID",IF(E67&lt;D67,"End date before start date",IF(N67="Term not found","Term not found",IF(N67="Yes","Outside term",IF(O67="Yes","Owner conflict",IF(AND(E67&lt;Dashboard!$B$4,K67&lt;&gt;"Completed",K67&lt;&gt;"Cancelled"),"Past event not completed",""))))))))</f>
        <v/>
      </c>
    </row>
    <row r="68">
      <c r="A68" s="16" t="n"/>
      <c r="B68" s="16" t="n"/>
      <c r="C68" s="16" t="n"/>
      <c r="D68" s="26" t="n"/>
      <c r="E68" s="26" t="n"/>
      <c r="F68" s="16" t="n"/>
      <c r="G68" s="16" t="n"/>
      <c r="H68" s="16" t="n"/>
      <c r="I68" s="16" t="n"/>
      <c r="J68" s="16" t="n"/>
      <c r="K68" s="16" t="n"/>
      <c r="L68" s="16" t="n"/>
      <c r="M68" s="18">
        <f>IF(OR(D68="",E68=""),"",IF(E68&lt;D68,"",E68-D68+1))</f>
        <v/>
      </c>
      <c r="N68" s="18">
        <f>IF(OR(B68="",C68="",D68="",E68=""),"",IF(COUNTIFS('Academic Terms'!$A$6:$A$101,B68,'Academic Terms'!$B$6:$B$101,C68)&lt;&gt;1,"Term not found",IF(OR(D68&lt;SUMIFS('Academic Terms'!$C$6:$C$101,'Academic Terms'!$A$6:$A$101,B68,'Academic Terms'!$B$6:$B$101,C68),E68&gt;SUMIFS('Academic Terms'!$D$6:$D$101,'Academic Terms'!$A$6:$A$101,B68,'Academic Terms'!$B$6:$B$101,C68)),"Yes","No")))</f>
        <v/>
      </c>
      <c r="O68" s="18">
        <f>IF(OR(A68="",B68="",D68="",E68="",J68="",K68="Cancelled"),"",IF(SUMPRODUCT(--($A$6:$A$205&lt;&gt;A68),--($B$6:$B$205=B68),--($J$6:$J$205=J68),--($D$6:$D$205&lt;=E68),--($E$6:$E$205&gt;=D68),--($K$6:$K$205&lt;&gt;"Cancelled"))&gt;0,"Yes","No"))</f>
        <v/>
      </c>
      <c r="P68" s="18">
        <f>IF(COUNTA(A68:L68)=0,"",IF(OR(A68="",B68="",C68="",D68="",E68="",F68="",G68="",K68=""),"Missing required fields",IF(COUNTIF($A$6:$A$205,A68)&gt;1,"Duplicate Event ID",IF(E68&lt;D68,"End date before start date",IF(N68="Term not found","Term not found",IF(N68="Yes","Outside term",IF(O68="Yes","Owner conflict",IF(AND(E68&lt;Dashboard!$B$4,K68&lt;&gt;"Completed",K68&lt;&gt;"Cancelled"),"Past event not completed",""))))))))</f>
        <v/>
      </c>
    </row>
    <row r="69">
      <c r="A69" s="16" t="n"/>
      <c r="B69" s="16" t="n"/>
      <c r="C69" s="16" t="n"/>
      <c r="D69" s="26" t="n"/>
      <c r="E69" s="26" t="n"/>
      <c r="F69" s="16" t="n"/>
      <c r="G69" s="16" t="n"/>
      <c r="H69" s="16" t="n"/>
      <c r="I69" s="16" t="n"/>
      <c r="J69" s="16" t="n"/>
      <c r="K69" s="16" t="n"/>
      <c r="L69" s="16" t="n"/>
      <c r="M69" s="18">
        <f>IF(OR(D69="",E69=""),"",IF(E69&lt;D69,"",E69-D69+1))</f>
        <v/>
      </c>
      <c r="N69" s="18">
        <f>IF(OR(B69="",C69="",D69="",E69=""),"",IF(COUNTIFS('Academic Terms'!$A$6:$A$101,B69,'Academic Terms'!$B$6:$B$101,C69)&lt;&gt;1,"Term not found",IF(OR(D69&lt;SUMIFS('Academic Terms'!$C$6:$C$101,'Academic Terms'!$A$6:$A$101,B69,'Academic Terms'!$B$6:$B$101,C69),E69&gt;SUMIFS('Academic Terms'!$D$6:$D$101,'Academic Terms'!$A$6:$A$101,B69,'Academic Terms'!$B$6:$B$101,C69)),"Yes","No")))</f>
        <v/>
      </c>
      <c r="O69" s="18">
        <f>IF(OR(A69="",B69="",D69="",E69="",J69="",K69="Cancelled"),"",IF(SUMPRODUCT(--($A$6:$A$205&lt;&gt;A69),--($B$6:$B$205=B69),--($J$6:$J$205=J69),--($D$6:$D$205&lt;=E69),--($E$6:$E$205&gt;=D69),--($K$6:$K$205&lt;&gt;"Cancelled"))&gt;0,"Yes","No"))</f>
        <v/>
      </c>
      <c r="P69" s="18">
        <f>IF(COUNTA(A69:L69)=0,"",IF(OR(A69="",B69="",C69="",D69="",E69="",F69="",G69="",K69=""),"Missing required fields",IF(COUNTIF($A$6:$A$205,A69)&gt;1,"Duplicate Event ID",IF(E69&lt;D69,"End date before start date",IF(N69="Term not found","Term not found",IF(N69="Yes","Outside term",IF(O69="Yes","Owner conflict",IF(AND(E69&lt;Dashboard!$B$4,K69&lt;&gt;"Completed",K69&lt;&gt;"Cancelled"),"Past event not completed",""))))))))</f>
        <v/>
      </c>
    </row>
    <row r="70">
      <c r="A70" s="16" t="n"/>
      <c r="B70" s="16" t="n"/>
      <c r="C70" s="16" t="n"/>
      <c r="D70" s="26" t="n"/>
      <c r="E70" s="26" t="n"/>
      <c r="F70" s="16" t="n"/>
      <c r="G70" s="16" t="n"/>
      <c r="H70" s="16" t="n"/>
      <c r="I70" s="16" t="n"/>
      <c r="J70" s="16" t="n"/>
      <c r="K70" s="16" t="n"/>
      <c r="L70" s="16" t="n"/>
      <c r="M70" s="18">
        <f>IF(OR(D70="",E70=""),"",IF(E70&lt;D70,"",E70-D70+1))</f>
        <v/>
      </c>
      <c r="N70" s="18">
        <f>IF(OR(B70="",C70="",D70="",E70=""),"",IF(COUNTIFS('Academic Terms'!$A$6:$A$101,B70,'Academic Terms'!$B$6:$B$101,C70)&lt;&gt;1,"Term not found",IF(OR(D70&lt;SUMIFS('Academic Terms'!$C$6:$C$101,'Academic Terms'!$A$6:$A$101,B70,'Academic Terms'!$B$6:$B$101,C70),E70&gt;SUMIFS('Academic Terms'!$D$6:$D$101,'Academic Terms'!$A$6:$A$101,B70,'Academic Terms'!$B$6:$B$101,C70)),"Yes","No")))</f>
        <v/>
      </c>
      <c r="O70" s="18">
        <f>IF(OR(A70="",B70="",D70="",E70="",J70="",K70="Cancelled"),"",IF(SUMPRODUCT(--($A$6:$A$205&lt;&gt;A70),--($B$6:$B$205=B70),--($J$6:$J$205=J70),--($D$6:$D$205&lt;=E70),--($E$6:$E$205&gt;=D70),--($K$6:$K$205&lt;&gt;"Cancelled"))&gt;0,"Yes","No"))</f>
        <v/>
      </c>
      <c r="P70" s="18">
        <f>IF(COUNTA(A70:L70)=0,"",IF(OR(A70="",B70="",C70="",D70="",E70="",F70="",G70="",K70=""),"Missing required fields",IF(COUNTIF($A$6:$A$205,A70)&gt;1,"Duplicate Event ID",IF(E70&lt;D70,"End date before start date",IF(N70="Term not found","Term not found",IF(N70="Yes","Outside term",IF(O70="Yes","Owner conflict",IF(AND(E70&lt;Dashboard!$B$4,K70&lt;&gt;"Completed",K70&lt;&gt;"Cancelled"),"Past event not completed",""))))))))</f>
        <v/>
      </c>
    </row>
    <row r="71">
      <c r="A71" s="16" t="n"/>
      <c r="B71" s="16" t="n"/>
      <c r="C71" s="16" t="n"/>
      <c r="D71" s="26" t="n"/>
      <c r="E71" s="26" t="n"/>
      <c r="F71" s="16" t="n"/>
      <c r="G71" s="16" t="n"/>
      <c r="H71" s="16" t="n"/>
      <c r="I71" s="16" t="n"/>
      <c r="J71" s="16" t="n"/>
      <c r="K71" s="16" t="n"/>
      <c r="L71" s="16" t="n"/>
      <c r="M71" s="18">
        <f>IF(OR(D71="",E71=""),"",IF(E71&lt;D71,"",E71-D71+1))</f>
        <v/>
      </c>
      <c r="N71" s="18">
        <f>IF(OR(B71="",C71="",D71="",E71=""),"",IF(COUNTIFS('Academic Terms'!$A$6:$A$101,B71,'Academic Terms'!$B$6:$B$101,C71)&lt;&gt;1,"Term not found",IF(OR(D71&lt;SUMIFS('Academic Terms'!$C$6:$C$101,'Academic Terms'!$A$6:$A$101,B71,'Academic Terms'!$B$6:$B$101,C71),E71&gt;SUMIFS('Academic Terms'!$D$6:$D$101,'Academic Terms'!$A$6:$A$101,B71,'Academic Terms'!$B$6:$B$101,C71)),"Yes","No")))</f>
        <v/>
      </c>
      <c r="O71" s="18">
        <f>IF(OR(A71="",B71="",D71="",E71="",J71="",K71="Cancelled"),"",IF(SUMPRODUCT(--($A$6:$A$205&lt;&gt;A71),--($B$6:$B$205=B71),--($J$6:$J$205=J71),--($D$6:$D$205&lt;=E71),--($E$6:$E$205&gt;=D71),--($K$6:$K$205&lt;&gt;"Cancelled"))&gt;0,"Yes","No"))</f>
        <v/>
      </c>
      <c r="P71" s="18">
        <f>IF(COUNTA(A71:L71)=0,"",IF(OR(A71="",B71="",C71="",D71="",E71="",F71="",G71="",K71=""),"Missing required fields",IF(COUNTIF($A$6:$A$205,A71)&gt;1,"Duplicate Event ID",IF(E71&lt;D71,"End date before start date",IF(N71="Term not found","Term not found",IF(N71="Yes","Outside term",IF(O71="Yes","Owner conflict",IF(AND(E71&lt;Dashboard!$B$4,K71&lt;&gt;"Completed",K71&lt;&gt;"Cancelled"),"Past event not completed",""))))))))</f>
        <v/>
      </c>
    </row>
    <row r="72">
      <c r="A72" s="16" t="n"/>
      <c r="B72" s="16" t="n"/>
      <c r="C72" s="16" t="n"/>
      <c r="D72" s="26" t="n"/>
      <c r="E72" s="26" t="n"/>
      <c r="F72" s="16" t="n"/>
      <c r="G72" s="16" t="n"/>
      <c r="H72" s="16" t="n"/>
      <c r="I72" s="16" t="n"/>
      <c r="J72" s="16" t="n"/>
      <c r="K72" s="16" t="n"/>
      <c r="L72" s="16" t="n"/>
      <c r="M72" s="18">
        <f>IF(OR(D72="",E72=""),"",IF(E72&lt;D72,"",E72-D72+1))</f>
        <v/>
      </c>
      <c r="N72" s="18">
        <f>IF(OR(B72="",C72="",D72="",E72=""),"",IF(COUNTIFS('Academic Terms'!$A$6:$A$101,B72,'Academic Terms'!$B$6:$B$101,C72)&lt;&gt;1,"Term not found",IF(OR(D72&lt;SUMIFS('Academic Terms'!$C$6:$C$101,'Academic Terms'!$A$6:$A$101,B72,'Academic Terms'!$B$6:$B$101,C72),E72&gt;SUMIFS('Academic Terms'!$D$6:$D$101,'Academic Terms'!$A$6:$A$101,B72,'Academic Terms'!$B$6:$B$101,C72)),"Yes","No")))</f>
        <v/>
      </c>
      <c r="O72" s="18">
        <f>IF(OR(A72="",B72="",D72="",E72="",J72="",K72="Cancelled"),"",IF(SUMPRODUCT(--($A$6:$A$205&lt;&gt;A72),--($B$6:$B$205=B72),--($J$6:$J$205=J72),--($D$6:$D$205&lt;=E72),--($E$6:$E$205&gt;=D72),--($K$6:$K$205&lt;&gt;"Cancelled"))&gt;0,"Yes","No"))</f>
        <v/>
      </c>
      <c r="P72" s="18">
        <f>IF(COUNTA(A72:L72)=0,"",IF(OR(A72="",B72="",C72="",D72="",E72="",F72="",G72="",K72=""),"Missing required fields",IF(COUNTIF($A$6:$A$205,A72)&gt;1,"Duplicate Event ID",IF(E72&lt;D72,"End date before start date",IF(N72="Term not found","Term not found",IF(N72="Yes","Outside term",IF(O72="Yes","Owner conflict",IF(AND(E72&lt;Dashboard!$B$4,K72&lt;&gt;"Completed",K72&lt;&gt;"Cancelled"),"Past event not completed",""))))))))</f>
        <v/>
      </c>
    </row>
    <row r="73">
      <c r="A73" s="16" t="n"/>
      <c r="B73" s="16" t="n"/>
      <c r="C73" s="16" t="n"/>
      <c r="D73" s="26" t="n"/>
      <c r="E73" s="26" t="n"/>
      <c r="F73" s="16" t="n"/>
      <c r="G73" s="16" t="n"/>
      <c r="H73" s="16" t="n"/>
      <c r="I73" s="16" t="n"/>
      <c r="J73" s="16" t="n"/>
      <c r="K73" s="16" t="n"/>
      <c r="L73" s="16" t="n"/>
      <c r="M73" s="18">
        <f>IF(OR(D73="",E73=""),"",IF(E73&lt;D73,"",E73-D73+1))</f>
        <v/>
      </c>
      <c r="N73" s="18">
        <f>IF(OR(B73="",C73="",D73="",E73=""),"",IF(COUNTIFS('Academic Terms'!$A$6:$A$101,B73,'Academic Terms'!$B$6:$B$101,C73)&lt;&gt;1,"Term not found",IF(OR(D73&lt;SUMIFS('Academic Terms'!$C$6:$C$101,'Academic Terms'!$A$6:$A$101,B73,'Academic Terms'!$B$6:$B$101,C73),E73&gt;SUMIFS('Academic Terms'!$D$6:$D$101,'Academic Terms'!$A$6:$A$101,B73,'Academic Terms'!$B$6:$B$101,C73)),"Yes","No")))</f>
        <v/>
      </c>
      <c r="O73" s="18">
        <f>IF(OR(A73="",B73="",D73="",E73="",J73="",K73="Cancelled"),"",IF(SUMPRODUCT(--($A$6:$A$205&lt;&gt;A73),--($B$6:$B$205=B73),--($J$6:$J$205=J73),--($D$6:$D$205&lt;=E73),--($E$6:$E$205&gt;=D73),--($K$6:$K$205&lt;&gt;"Cancelled"))&gt;0,"Yes","No"))</f>
        <v/>
      </c>
      <c r="P73" s="18">
        <f>IF(COUNTA(A73:L73)=0,"",IF(OR(A73="",B73="",C73="",D73="",E73="",F73="",G73="",K73=""),"Missing required fields",IF(COUNTIF($A$6:$A$205,A73)&gt;1,"Duplicate Event ID",IF(E73&lt;D73,"End date before start date",IF(N73="Term not found","Term not found",IF(N73="Yes","Outside term",IF(O73="Yes","Owner conflict",IF(AND(E73&lt;Dashboard!$B$4,K73&lt;&gt;"Completed",K73&lt;&gt;"Cancelled"),"Past event not completed",""))))))))</f>
        <v/>
      </c>
    </row>
    <row r="74">
      <c r="A74" s="16" t="n"/>
      <c r="B74" s="16" t="n"/>
      <c r="C74" s="16" t="n"/>
      <c r="D74" s="26" t="n"/>
      <c r="E74" s="26" t="n"/>
      <c r="F74" s="16" t="n"/>
      <c r="G74" s="16" t="n"/>
      <c r="H74" s="16" t="n"/>
      <c r="I74" s="16" t="n"/>
      <c r="J74" s="16" t="n"/>
      <c r="K74" s="16" t="n"/>
      <c r="L74" s="16" t="n"/>
      <c r="M74" s="18">
        <f>IF(OR(D74="",E74=""),"",IF(E74&lt;D74,"",E74-D74+1))</f>
        <v/>
      </c>
      <c r="N74" s="18">
        <f>IF(OR(B74="",C74="",D74="",E74=""),"",IF(COUNTIFS('Academic Terms'!$A$6:$A$101,B74,'Academic Terms'!$B$6:$B$101,C74)&lt;&gt;1,"Term not found",IF(OR(D74&lt;SUMIFS('Academic Terms'!$C$6:$C$101,'Academic Terms'!$A$6:$A$101,B74,'Academic Terms'!$B$6:$B$101,C74),E74&gt;SUMIFS('Academic Terms'!$D$6:$D$101,'Academic Terms'!$A$6:$A$101,B74,'Academic Terms'!$B$6:$B$101,C74)),"Yes","No")))</f>
        <v/>
      </c>
      <c r="O74" s="18">
        <f>IF(OR(A74="",B74="",D74="",E74="",J74="",K74="Cancelled"),"",IF(SUMPRODUCT(--($A$6:$A$205&lt;&gt;A74),--($B$6:$B$205=B74),--($J$6:$J$205=J74),--($D$6:$D$205&lt;=E74),--($E$6:$E$205&gt;=D74),--($K$6:$K$205&lt;&gt;"Cancelled"))&gt;0,"Yes","No"))</f>
        <v/>
      </c>
      <c r="P74" s="18">
        <f>IF(COUNTA(A74:L74)=0,"",IF(OR(A74="",B74="",C74="",D74="",E74="",F74="",G74="",K74=""),"Missing required fields",IF(COUNTIF($A$6:$A$205,A74)&gt;1,"Duplicate Event ID",IF(E74&lt;D74,"End date before start date",IF(N74="Term not found","Term not found",IF(N74="Yes","Outside term",IF(O74="Yes","Owner conflict",IF(AND(E74&lt;Dashboard!$B$4,K74&lt;&gt;"Completed",K74&lt;&gt;"Cancelled"),"Past event not completed",""))))))))</f>
        <v/>
      </c>
    </row>
    <row r="75">
      <c r="A75" s="16" t="n"/>
      <c r="B75" s="16" t="n"/>
      <c r="C75" s="16" t="n"/>
      <c r="D75" s="26" t="n"/>
      <c r="E75" s="26" t="n"/>
      <c r="F75" s="16" t="n"/>
      <c r="G75" s="16" t="n"/>
      <c r="H75" s="16" t="n"/>
      <c r="I75" s="16" t="n"/>
      <c r="J75" s="16" t="n"/>
      <c r="K75" s="16" t="n"/>
      <c r="L75" s="16" t="n"/>
      <c r="M75" s="18">
        <f>IF(OR(D75="",E75=""),"",IF(E75&lt;D75,"",E75-D75+1))</f>
        <v/>
      </c>
      <c r="N75" s="18">
        <f>IF(OR(B75="",C75="",D75="",E75=""),"",IF(COUNTIFS('Academic Terms'!$A$6:$A$101,B75,'Academic Terms'!$B$6:$B$101,C75)&lt;&gt;1,"Term not found",IF(OR(D75&lt;SUMIFS('Academic Terms'!$C$6:$C$101,'Academic Terms'!$A$6:$A$101,B75,'Academic Terms'!$B$6:$B$101,C75),E75&gt;SUMIFS('Academic Terms'!$D$6:$D$101,'Academic Terms'!$A$6:$A$101,B75,'Academic Terms'!$B$6:$B$101,C75)),"Yes","No")))</f>
        <v/>
      </c>
      <c r="O75" s="18">
        <f>IF(OR(A75="",B75="",D75="",E75="",J75="",K75="Cancelled"),"",IF(SUMPRODUCT(--($A$6:$A$205&lt;&gt;A75),--($B$6:$B$205=B75),--($J$6:$J$205=J75),--($D$6:$D$205&lt;=E75),--($E$6:$E$205&gt;=D75),--($K$6:$K$205&lt;&gt;"Cancelled"))&gt;0,"Yes","No"))</f>
        <v/>
      </c>
      <c r="P75" s="18">
        <f>IF(COUNTA(A75:L75)=0,"",IF(OR(A75="",B75="",C75="",D75="",E75="",F75="",G75="",K75=""),"Missing required fields",IF(COUNTIF($A$6:$A$205,A75)&gt;1,"Duplicate Event ID",IF(E75&lt;D75,"End date before start date",IF(N75="Term not found","Term not found",IF(N75="Yes","Outside term",IF(O75="Yes","Owner conflict",IF(AND(E75&lt;Dashboard!$B$4,K75&lt;&gt;"Completed",K75&lt;&gt;"Cancelled"),"Past event not completed",""))))))))</f>
        <v/>
      </c>
    </row>
    <row r="76">
      <c r="A76" s="16" t="n"/>
      <c r="B76" s="16" t="n"/>
      <c r="C76" s="16" t="n"/>
      <c r="D76" s="26" t="n"/>
      <c r="E76" s="26" t="n"/>
      <c r="F76" s="16" t="n"/>
      <c r="G76" s="16" t="n"/>
      <c r="H76" s="16" t="n"/>
      <c r="I76" s="16" t="n"/>
      <c r="J76" s="16" t="n"/>
      <c r="K76" s="16" t="n"/>
      <c r="L76" s="16" t="n"/>
      <c r="M76" s="18">
        <f>IF(OR(D76="",E76=""),"",IF(E76&lt;D76,"",E76-D76+1))</f>
        <v/>
      </c>
      <c r="N76" s="18">
        <f>IF(OR(B76="",C76="",D76="",E76=""),"",IF(COUNTIFS('Academic Terms'!$A$6:$A$101,B76,'Academic Terms'!$B$6:$B$101,C76)&lt;&gt;1,"Term not found",IF(OR(D76&lt;SUMIFS('Academic Terms'!$C$6:$C$101,'Academic Terms'!$A$6:$A$101,B76,'Academic Terms'!$B$6:$B$101,C76),E76&gt;SUMIFS('Academic Terms'!$D$6:$D$101,'Academic Terms'!$A$6:$A$101,B76,'Academic Terms'!$B$6:$B$101,C76)),"Yes","No")))</f>
        <v/>
      </c>
      <c r="O76" s="18">
        <f>IF(OR(A76="",B76="",D76="",E76="",J76="",K76="Cancelled"),"",IF(SUMPRODUCT(--($A$6:$A$205&lt;&gt;A76),--($B$6:$B$205=B76),--($J$6:$J$205=J76),--($D$6:$D$205&lt;=E76),--($E$6:$E$205&gt;=D76),--($K$6:$K$205&lt;&gt;"Cancelled"))&gt;0,"Yes","No"))</f>
        <v/>
      </c>
      <c r="P76" s="18">
        <f>IF(COUNTA(A76:L76)=0,"",IF(OR(A76="",B76="",C76="",D76="",E76="",F76="",G76="",K76=""),"Missing required fields",IF(COUNTIF($A$6:$A$205,A76)&gt;1,"Duplicate Event ID",IF(E76&lt;D76,"End date before start date",IF(N76="Term not found","Term not found",IF(N76="Yes","Outside term",IF(O76="Yes","Owner conflict",IF(AND(E76&lt;Dashboard!$B$4,K76&lt;&gt;"Completed",K76&lt;&gt;"Cancelled"),"Past event not completed",""))))))))</f>
        <v/>
      </c>
    </row>
    <row r="77">
      <c r="A77" s="16" t="n"/>
      <c r="B77" s="16" t="n"/>
      <c r="C77" s="16" t="n"/>
      <c r="D77" s="26" t="n"/>
      <c r="E77" s="26" t="n"/>
      <c r="F77" s="16" t="n"/>
      <c r="G77" s="16" t="n"/>
      <c r="H77" s="16" t="n"/>
      <c r="I77" s="16" t="n"/>
      <c r="J77" s="16" t="n"/>
      <c r="K77" s="16" t="n"/>
      <c r="L77" s="16" t="n"/>
      <c r="M77" s="18">
        <f>IF(OR(D77="",E77=""),"",IF(E77&lt;D77,"",E77-D77+1))</f>
        <v/>
      </c>
      <c r="N77" s="18">
        <f>IF(OR(B77="",C77="",D77="",E77=""),"",IF(COUNTIFS('Academic Terms'!$A$6:$A$101,B77,'Academic Terms'!$B$6:$B$101,C77)&lt;&gt;1,"Term not found",IF(OR(D77&lt;SUMIFS('Academic Terms'!$C$6:$C$101,'Academic Terms'!$A$6:$A$101,B77,'Academic Terms'!$B$6:$B$101,C77),E77&gt;SUMIFS('Academic Terms'!$D$6:$D$101,'Academic Terms'!$A$6:$A$101,B77,'Academic Terms'!$B$6:$B$101,C77)),"Yes","No")))</f>
        <v/>
      </c>
      <c r="O77" s="18">
        <f>IF(OR(A77="",B77="",D77="",E77="",J77="",K77="Cancelled"),"",IF(SUMPRODUCT(--($A$6:$A$205&lt;&gt;A77),--($B$6:$B$205=B77),--($J$6:$J$205=J77),--($D$6:$D$205&lt;=E77),--($E$6:$E$205&gt;=D77),--($K$6:$K$205&lt;&gt;"Cancelled"))&gt;0,"Yes","No"))</f>
        <v/>
      </c>
      <c r="P77" s="18">
        <f>IF(COUNTA(A77:L77)=0,"",IF(OR(A77="",B77="",C77="",D77="",E77="",F77="",G77="",K77=""),"Missing required fields",IF(COUNTIF($A$6:$A$205,A77)&gt;1,"Duplicate Event ID",IF(E77&lt;D77,"End date before start date",IF(N77="Term not found","Term not found",IF(N77="Yes","Outside term",IF(O77="Yes","Owner conflict",IF(AND(E77&lt;Dashboard!$B$4,K77&lt;&gt;"Completed",K77&lt;&gt;"Cancelled"),"Past event not completed",""))))))))</f>
        <v/>
      </c>
    </row>
    <row r="78">
      <c r="A78" s="16" t="n"/>
      <c r="B78" s="16" t="n"/>
      <c r="C78" s="16" t="n"/>
      <c r="D78" s="26" t="n"/>
      <c r="E78" s="26" t="n"/>
      <c r="F78" s="16" t="n"/>
      <c r="G78" s="16" t="n"/>
      <c r="H78" s="16" t="n"/>
      <c r="I78" s="16" t="n"/>
      <c r="J78" s="16" t="n"/>
      <c r="K78" s="16" t="n"/>
      <c r="L78" s="16" t="n"/>
      <c r="M78" s="18">
        <f>IF(OR(D78="",E78=""),"",IF(E78&lt;D78,"",E78-D78+1))</f>
        <v/>
      </c>
      <c r="N78" s="18">
        <f>IF(OR(B78="",C78="",D78="",E78=""),"",IF(COUNTIFS('Academic Terms'!$A$6:$A$101,B78,'Academic Terms'!$B$6:$B$101,C78)&lt;&gt;1,"Term not found",IF(OR(D78&lt;SUMIFS('Academic Terms'!$C$6:$C$101,'Academic Terms'!$A$6:$A$101,B78,'Academic Terms'!$B$6:$B$101,C78),E78&gt;SUMIFS('Academic Terms'!$D$6:$D$101,'Academic Terms'!$A$6:$A$101,B78,'Academic Terms'!$B$6:$B$101,C78)),"Yes","No")))</f>
        <v/>
      </c>
      <c r="O78" s="18">
        <f>IF(OR(A78="",B78="",D78="",E78="",J78="",K78="Cancelled"),"",IF(SUMPRODUCT(--($A$6:$A$205&lt;&gt;A78),--($B$6:$B$205=B78),--($J$6:$J$205=J78),--($D$6:$D$205&lt;=E78),--($E$6:$E$205&gt;=D78),--($K$6:$K$205&lt;&gt;"Cancelled"))&gt;0,"Yes","No"))</f>
        <v/>
      </c>
      <c r="P78" s="18">
        <f>IF(COUNTA(A78:L78)=0,"",IF(OR(A78="",B78="",C78="",D78="",E78="",F78="",G78="",K78=""),"Missing required fields",IF(COUNTIF($A$6:$A$205,A78)&gt;1,"Duplicate Event ID",IF(E78&lt;D78,"End date before start date",IF(N78="Term not found","Term not found",IF(N78="Yes","Outside term",IF(O78="Yes","Owner conflict",IF(AND(E78&lt;Dashboard!$B$4,K78&lt;&gt;"Completed",K78&lt;&gt;"Cancelled"),"Past event not completed",""))))))))</f>
        <v/>
      </c>
    </row>
    <row r="79">
      <c r="A79" s="16" t="n"/>
      <c r="B79" s="16" t="n"/>
      <c r="C79" s="16" t="n"/>
      <c r="D79" s="26" t="n"/>
      <c r="E79" s="26" t="n"/>
      <c r="F79" s="16" t="n"/>
      <c r="G79" s="16" t="n"/>
      <c r="H79" s="16" t="n"/>
      <c r="I79" s="16" t="n"/>
      <c r="J79" s="16" t="n"/>
      <c r="K79" s="16" t="n"/>
      <c r="L79" s="16" t="n"/>
      <c r="M79" s="18">
        <f>IF(OR(D79="",E79=""),"",IF(E79&lt;D79,"",E79-D79+1))</f>
        <v/>
      </c>
      <c r="N79" s="18">
        <f>IF(OR(B79="",C79="",D79="",E79=""),"",IF(COUNTIFS('Academic Terms'!$A$6:$A$101,B79,'Academic Terms'!$B$6:$B$101,C79)&lt;&gt;1,"Term not found",IF(OR(D79&lt;SUMIFS('Academic Terms'!$C$6:$C$101,'Academic Terms'!$A$6:$A$101,B79,'Academic Terms'!$B$6:$B$101,C79),E79&gt;SUMIFS('Academic Terms'!$D$6:$D$101,'Academic Terms'!$A$6:$A$101,B79,'Academic Terms'!$B$6:$B$101,C79)),"Yes","No")))</f>
        <v/>
      </c>
      <c r="O79" s="18">
        <f>IF(OR(A79="",B79="",D79="",E79="",J79="",K79="Cancelled"),"",IF(SUMPRODUCT(--($A$6:$A$205&lt;&gt;A79),--($B$6:$B$205=B79),--($J$6:$J$205=J79),--($D$6:$D$205&lt;=E79),--($E$6:$E$205&gt;=D79),--($K$6:$K$205&lt;&gt;"Cancelled"))&gt;0,"Yes","No"))</f>
        <v/>
      </c>
      <c r="P79" s="18">
        <f>IF(COUNTA(A79:L79)=0,"",IF(OR(A79="",B79="",C79="",D79="",E79="",F79="",G79="",K79=""),"Missing required fields",IF(COUNTIF($A$6:$A$205,A79)&gt;1,"Duplicate Event ID",IF(E79&lt;D79,"End date before start date",IF(N79="Term not found","Term not found",IF(N79="Yes","Outside term",IF(O79="Yes","Owner conflict",IF(AND(E79&lt;Dashboard!$B$4,K79&lt;&gt;"Completed",K79&lt;&gt;"Cancelled"),"Past event not completed",""))))))))</f>
        <v/>
      </c>
    </row>
    <row r="80">
      <c r="A80" s="16" t="n"/>
      <c r="B80" s="16" t="n"/>
      <c r="C80" s="16" t="n"/>
      <c r="D80" s="26" t="n"/>
      <c r="E80" s="26" t="n"/>
      <c r="F80" s="16" t="n"/>
      <c r="G80" s="16" t="n"/>
      <c r="H80" s="16" t="n"/>
      <c r="I80" s="16" t="n"/>
      <c r="J80" s="16" t="n"/>
      <c r="K80" s="16" t="n"/>
      <c r="L80" s="16" t="n"/>
      <c r="M80" s="18">
        <f>IF(OR(D80="",E80=""),"",IF(E80&lt;D80,"",E80-D80+1))</f>
        <v/>
      </c>
      <c r="N80" s="18">
        <f>IF(OR(B80="",C80="",D80="",E80=""),"",IF(COUNTIFS('Academic Terms'!$A$6:$A$101,B80,'Academic Terms'!$B$6:$B$101,C80)&lt;&gt;1,"Term not found",IF(OR(D80&lt;SUMIFS('Academic Terms'!$C$6:$C$101,'Academic Terms'!$A$6:$A$101,B80,'Academic Terms'!$B$6:$B$101,C80),E80&gt;SUMIFS('Academic Terms'!$D$6:$D$101,'Academic Terms'!$A$6:$A$101,B80,'Academic Terms'!$B$6:$B$101,C80)),"Yes","No")))</f>
        <v/>
      </c>
      <c r="O80" s="18">
        <f>IF(OR(A80="",B80="",D80="",E80="",J80="",K80="Cancelled"),"",IF(SUMPRODUCT(--($A$6:$A$205&lt;&gt;A80),--($B$6:$B$205=B80),--($J$6:$J$205=J80),--($D$6:$D$205&lt;=E80),--($E$6:$E$205&gt;=D80),--($K$6:$K$205&lt;&gt;"Cancelled"))&gt;0,"Yes","No"))</f>
        <v/>
      </c>
      <c r="P80" s="18">
        <f>IF(COUNTA(A80:L80)=0,"",IF(OR(A80="",B80="",C80="",D80="",E80="",F80="",G80="",K80=""),"Missing required fields",IF(COUNTIF($A$6:$A$205,A80)&gt;1,"Duplicate Event ID",IF(E80&lt;D80,"End date before start date",IF(N80="Term not found","Term not found",IF(N80="Yes","Outside term",IF(O80="Yes","Owner conflict",IF(AND(E80&lt;Dashboard!$B$4,K80&lt;&gt;"Completed",K80&lt;&gt;"Cancelled"),"Past event not completed",""))))))))</f>
        <v/>
      </c>
    </row>
    <row r="81">
      <c r="A81" s="16" t="n"/>
      <c r="B81" s="16" t="n"/>
      <c r="C81" s="16" t="n"/>
      <c r="D81" s="26" t="n"/>
      <c r="E81" s="26" t="n"/>
      <c r="F81" s="16" t="n"/>
      <c r="G81" s="16" t="n"/>
      <c r="H81" s="16" t="n"/>
      <c r="I81" s="16" t="n"/>
      <c r="J81" s="16" t="n"/>
      <c r="K81" s="16" t="n"/>
      <c r="L81" s="16" t="n"/>
      <c r="M81" s="18">
        <f>IF(OR(D81="",E81=""),"",IF(E81&lt;D81,"",E81-D81+1))</f>
        <v/>
      </c>
      <c r="N81" s="18">
        <f>IF(OR(B81="",C81="",D81="",E81=""),"",IF(COUNTIFS('Academic Terms'!$A$6:$A$101,B81,'Academic Terms'!$B$6:$B$101,C81)&lt;&gt;1,"Term not found",IF(OR(D81&lt;SUMIFS('Academic Terms'!$C$6:$C$101,'Academic Terms'!$A$6:$A$101,B81,'Academic Terms'!$B$6:$B$101,C81),E81&gt;SUMIFS('Academic Terms'!$D$6:$D$101,'Academic Terms'!$A$6:$A$101,B81,'Academic Terms'!$B$6:$B$101,C81)),"Yes","No")))</f>
        <v/>
      </c>
      <c r="O81" s="18">
        <f>IF(OR(A81="",B81="",D81="",E81="",J81="",K81="Cancelled"),"",IF(SUMPRODUCT(--($A$6:$A$205&lt;&gt;A81),--($B$6:$B$205=B81),--($J$6:$J$205=J81),--($D$6:$D$205&lt;=E81),--($E$6:$E$205&gt;=D81),--($K$6:$K$205&lt;&gt;"Cancelled"))&gt;0,"Yes","No"))</f>
        <v/>
      </c>
      <c r="P81" s="18">
        <f>IF(COUNTA(A81:L81)=0,"",IF(OR(A81="",B81="",C81="",D81="",E81="",F81="",G81="",K81=""),"Missing required fields",IF(COUNTIF($A$6:$A$205,A81)&gt;1,"Duplicate Event ID",IF(E81&lt;D81,"End date before start date",IF(N81="Term not found","Term not found",IF(N81="Yes","Outside term",IF(O81="Yes","Owner conflict",IF(AND(E81&lt;Dashboard!$B$4,K81&lt;&gt;"Completed",K81&lt;&gt;"Cancelled"),"Past event not completed",""))))))))</f>
        <v/>
      </c>
    </row>
    <row r="82">
      <c r="A82" s="16" t="n"/>
      <c r="B82" s="16" t="n"/>
      <c r="C82" s="16" t="n"/>
      <c r="D82" s="26" t="n"/>
      <c r="E82" s="26" t="n"/>
      <c r="F82" s="16" t="n"/>
      <c r="G82" s="16" t="n"/>
      <c r="H82" s="16" t="n"/>
      <c r="I82" s="16" t="n"/>
      <c r="J82" s="16" t="n"/>
      <c r="K82" s="16" t="n"/>
      <c r="L82" s="16" t="n"/>
      <c r="M82" s="18">
        <f>IF(OR(D82="",E82=""),"",IF(E82&lt;D82,"",E82-D82+1))</f>
        <v/>
      </c>
      <c r="N82" s="18">
        <f>IF(OR(B82="",C82="",D82="",E82=""),"",IF(COUNTIFS('Academic Terms'!$A$6:$A$101,B82,'Academic Terms'!$B$6:$B$101,C82)&lt;&gt;1,"Term not found",IF(OR(D82&lt;SUMIFS('Academic Terms'!$C$6:$C$101,'Academic Terms'!$A$6:$A$101,B82,'Academic Terms'!$B$6:$B$101,C82),E82&gt;SUMIFS('Academic Terms'!$D$6:$D$101,'Academic Terms'!$A$6:$A$101,B82,'Academic Terms'!$B$6:$B$101,C82)),"Yes","No")))</f>
        <v/>
      </c>
      <c r="O82" s="18">
        <f>IF(OR(A82="",B82="",D82="",E82="",J82="",K82="Cancelled"),"",IF(SUMPRODUCT(--($A$6:$A$205&lt;&gt;A82),--($B$6:$B$205=B82),--($J$6:$J$205=J82),--($D$6:$D$205&lt;=E82),--($E$6:$E$205&gt;=D82),--($K$6:$K$205&lt;&gt;"Cancelled"))&gt;0,"Yes","No"))</f>
        <v/>
      </c>
      <c r="P82" s="18">
        <f>IF(COUNTA(A82:L82)=0,"",IF(OR(A82="",B82="",C82="",D82="",E82="",F82="",G82="",K82=""),"Missing required fields",IF(COUNTIF($A$6:$A$205,A82)&gt;1,"Duplicate Event ID",IF(E82&lt;D82,"End date before start date",IF(N82="Term not found","Term not found",IF(N82="Yes","Outside term",IF(O82="Yes","Owner conflict",IF(AND(E82&lt;Dashboard!$B$4,K82&lt;&gt;"Completed",K82&lt;&gt;"Cancelled"),"Past event not completed",""))))))))</f>
        <v/>
      </c>
    </row>
    <row r="83">
      <c r="A83" s="16" t="n"/>
      <c r="B83" s="16" t="n"/>
      <c r="C83" s="16" t="n"/>
      <c r="D83" s="26" t="n"/>
      <c r="E83" s="26" t="n"/>
      <c r="F83" s="16" t="n"/>
      <c r="G83" s="16" t="n"/>
      <c r="H83" s="16" t="n"/>
      <c r="I83" s="16" t="n"/>
      <c r="J83" s="16" t="n"/>
      <c r="K83" s="16" t="n"/>
      <c r="L83" s="16" t="n"/>
      <c r="M83" s="18">
        <f>IF(OR(D83="",E83=""),"",IF(E83&lt;D83,"",E83-D83+1))</f>
        <v/>
      </c>
      <c r="N83" s="18">
        <f>IF(OR(B83="",C83="",D83="",E83=""),"",IF(COUNTIFS('Academic Terms'!$A$6:$A$101,B83,'Academic Terms'!$B$6:$B$101,C83)&lt;&gt;1,"Term not found",IF(OR(D83&lt;SUMIFS('Academic Terms'!$C$6:$C$101,'Academic Terms'!$A$6:$A$101,B83,'Academic Terms'!$B$6:$B$101,C83),E83&gt;SUMIFS('Academic Terms'!$D$6:$D$101,'Academic Terms'!$A$6:$A$101,B83,'Academic Terms'!$B$6:$B$101,C83)),"Yes","No")))</f>
        <v/>
      </c>
      <c r="O83" s="18">
        <f>IF(OR(A83="",B83="",D83="",E83="",J83="",K83="Cancelled"),"",IF(SUMPRODUCT(--($A$6:$A$205&lt;&gt;A83),--($B$6:$B$205=B83),--($J$6:$J$205=J83),--($D$6:$D$205&lt;=E83),--($E$6:$E$205&gt;=D83),--($K$6:$K$205&lt;&gt;"Cancelled"))&gt;0,"Yes","No"))</f>
        <v/>
      </c>
      <c r="P83" s="18">
        <f>IF(COUNTA(A83:L83)=0,"",IF(OR(A83="",B83="",C83="",D83="",E83="",F83="",G83="",K83=""),"Missing required fields",IF(COUNTIF($A$6:$A$205,A83)&gt;1,"Duplicate Event ID",IF(E83&lt;D83,"End date before start date",IF(N83="Term not found","Term not found",IF(N83="Yes","Outside term",IF(O83="Yes","Owner conflict",IF(AND(E83&lt;Dashboard!$B$4,K83&lt;&gt;"Completed",K83&lt;&gt;"Cancelled"),"Past event not completed",""))))))))</f>
        <v/>
      </c>
    </row>
    <row r="84">
      <c r="A84" s="16" t="n"/>
      <c r="B84" s="16" t="n"/>
      <c r="C84" s="16" t="n"/>
      <c r="D84" s="26" t="n"/>
      <c r="E84" s="26" t="n"/>
      <c r="F84" s="16" t="n"/>
      <c r="G84" s="16" t="n"/>
      <c r="H84" s="16" t="n"/>
      <c r="I84" s="16" t="n"/>
      <c r="J84" s="16" t="n"/>
      <c r="K84" s="16" t="n"/>
      <c r="L84" s="16" t="n"/>
      <c r="M84" s="18">
        <f>IF(OR(D84="",E84=""),"",IF(E84&lt;D84,"",E84-D84+1))</f>
        <v/>
      </c>
      <c r="N84" s="18">
        <f>IF(OR(B84="",C84="",D84="",E84=""),"",IF(COUNTIFS('Academic Terms'!$A$6:$A$101,B84,'Academic Terms'!$B$6:$B$101,C84)&lt;&gt;1,"Term not found",IF(OR(D84&lt;SUMIFS('Academic Terms'!$C$6:$C$101,'Academic Terms'!$A$6:$A$101,B84,'Academic Terms'!$B$6:$B$101,C84),E84&gt;SUMIFS('Academic Terms'!$D$6:$D$101,'Academic Terms'!$A$6:$A$101,B84,'Academic Terms'!$B$6:$B$101,C84)),"Yes","No")))</f>
        <v/>
      </c>
      <c r="O84" s="18">
        <f>IF(OR(A84="",B84="",D84="",E84="",J84="",K84="Cancelled"),"",IF(SUMPRODUCT(--($A$6:$A$205&lt;&gt;A84),--($B$6:$B$205=B84),--($J$6:$J$205=J84),--($D$6:$D$205&lt;=E84),--($E$6:$E$205&gt;=D84),--($K$6:$K$205&lt;&gt;"Cancelled"))&gt;0,"Yes","No"))</f>
        <v/>
      </c>
      <c r="P84" s="18">
        <f>IF(COUNTA(A84:L84)=0,"",IF(OR(A84="",B84="",C84="",D84="",E84="",F84="",G84="",K84=""),"Missing required fields",IF(COUNTIF($A$6:$A$205,A84)&gt;1,"Duplicate Event ID",IF(E84&lt;D84,"End date before start date",IF(N84="Term not found","Term not found",IF(N84="Yes","Outside term",IF(O84="Yes","Owner conflict",IF(AND(E84&lt;Dashboard!$B$4,K84&lt;&gt;"Completed",K84&lt;&gt;"Cancelled"),"Past event not completed",""))))))))</f>
        <v/>
      </c>
    </row>
    <row r="85">
      <c r="A85" s="16" t="n"/>
      <c r="B85" s="16" t="n"/>
      <c r="C85" s="16" t="n"/>
      <c r="D85" s="26" t="n"/>
      <c r="E85" s="26" t="n"/>
      <c r="F85" s="16" t="n"/>
      <c r="G85" s="16" t="n"/>
      <c r="H85" s="16" t="n"/>
      <c r="I85" s="16" t="n"/>
      <c r="J85" s="16" t="n"/>
      <c r="K85" s="16" t="n"/>
      <c r="L85" s="16" t="n"/>
      <c r="M85" s="18">
        <f>IF(OR(D85="",E85=""),"",IF(E85&lt;D85,"",E85-D85+1))</f>
        <v/>
      </c>
      <c r="N85" s="18">
        <f>IF(OR(B85="",C85="",D85="",E85=""),"",IF(COUNTIFS('Academic Terms'!$A$6:$A$101,B85,'Academic Terms'!$B$6:$B$101,C85)&lt;&gt;1,"Term not found",IF(OR(D85&lt;SUMIFS('Academic Terms'!$C$6:$C$101,'Academic Terms'!$A$6:$A$101,B85,'Academic Terms'!$B$6:$B$101,C85),E85&gt;SUMIFS('Academic Terms'!$D$6:$D$101,'Academic Terms'!$A$6:$A$101,B85,'Academic Terms'!$B$6:$B$101,C85)),"Yes","No")))</f>
        <v/>
      </c>
      <c r="O85" s="18">
        <f>IF(OR(A85="",B85="",D85="",E85="",J85="",K85="Cancelled"),"",IF(SUMPRODUCT(--($A$6:$A$205&lt;&gt;A85),--($B$6:$B$205=B85),--($J$6:$J$205=J85),--($D$6:$D$205&lt;=E85),--($E$6:$E$205&gt;=D85),--($K$6:$K$205&lt;&gt;"Cancelled"))&gt;0,"Yes","No"))</f>
        <v/>
      </c>
      <c r="P85" s="18">
        <f>IF(COUNTA(A85:L85)=0,"",IF(OR(A85="",B85="",C85="",D85="",E85="",F85="",G85="",K85=""),"Missing required fields",IF(COUNTIF($A$6:$A$205,A85)&gt;1,"Duplicate Event ID",IF(E85&lt;D85,"End date before start date",IF(N85="Term not found","Term not found",IF(N85="Yes","Outside term",IF(O85="Yes","Owner conflict",IF(AND(E85&lt;Dashboard!$B$4,K85&lt;&gt;"Completed",K85&lt;&gt;"Cancelled"),"Past event not completed",""))))))))</f>
        <v/>
      </c>
    </row>
    <row r="86">
      <c r="A86" s="16" t="n"/>
      <c r="B86" s="16" t="n"/>
      <c r="C86" s="16" t="n"/>
      <c r="D86" s="26" t="n"/>
      <c r="E86" s="26" t="n"/>
      <c r="F86" s="16" t="n"/>
      <c r="G86" s="16" t="n"/>
      <c r="H86" s="16" t="n"/>
      <c r="I86" s="16" t="n"/>
      <c r="J86" s="16" t="n"/>
      <c r="K86" s="16" t="n"/>
      <c r="L86" s="16" t="n"/>
      <c r="M86" s="18">
        <f>IF(OR(D86="",E86=""),"",IF(E86&lt;D86,"",E86-D86+1))</f>
        <v/>
      </c>
      <c r="N86" s="18">
        <f>IF(OR(B86="",C86="",D86="",E86=""),"",IF(COUNTIFS('Academic Terms'!$A$6:$A$101,B86,'Academic Terms'!$B$6:$B$101,C86)&lt;&gt;1,"Term not found",IF(OR(D86&lt;SUMIFS('Academic Terms'!$C$6:$C$101,'Academic Terms'!$A$6:$A$101,B86,'Academic Terms'!$B$6:$B$101,C86),E86&gt;SUMIFS('Academic Terms'!$D$6:$D$101,'Academic Terms'!$A$6:$A$101,B86,'Academic Terms'!$B$6:$B$101,C86)),"Yes","No")))</f>
        <v/>
      </c>
      <c r="O86" s="18">
        <f>IF(OR(A86="",B86="",D86="",E86="",J86="",K86="Cancelled"),"",IF(SUMPRODUCT(--($A$6:$A$205&lt;&gt;A86),--($B$6:$B$205=B86),--($J$6:$J$205=J86),--($D$6:$D$205&lt;=E86),--($E$6:$E$205&gt;=D86),--($K$6:$K$205&lt;&gt;"Cancelled"))&gt;0,"Yes","No"))</f>
        <v/>
      </c>
      <c r="P86" s="18">
        <f>IF(COUNTA(A86:L86)=0,"",IF(OR(A86="",B86="",C86="",D86="",E86="",F86="",G86="",K86=""),"Missing required fields",IF(COUNTIF($A$6:$A$205,A86)&gt;1,"Duplicate Event ID",IF(E86&lt;D86,"End date before start date",IF(N86="Term not found","Term not found",IF(N86="Yes","Outside term",IF(O86="Yes","Owner conflict",IF(AND(E86&lt;Dashboard!$B$4,K86&lt;&gt;"Completed",K86&lt;&gt;"Cancelled"),"Past event not completed",""))))))))</f>
        <v/>
      </c>
    </row>
    <row r="87">
      <c r="A87" s="16" t="n"/>
      <c r="B87" s="16" t="n"/>
      <c r="C87" s="16" t="n"/>
      <c r="D87" s="26" t="n"/>
      <c r="E87" s="26" t="n"/>
      <c r="F87" s="16" t="n"/>
      <c r="G87" s="16" t="n"/>
      <c r="H87" s="16" t="n"/>
      <c r="I87" s="16" t="n"/>
      <c r="J87" s="16" t="n"/>
      <c r="K87" s="16" t="n"/>
      <c r="L87" s="16" t="n"/>
      <c r="M87" s="18">
        <f>IF(OR(D87="",E87=""),"",IF(E87&lt;D87,"",E87-D87+1))</f>
        <v/>
      </c>
      <c r="N87" s="18">
        <f>IF(OR(B87="",C87="",D87="",E87=""),"",IF(COUNTIFS('Academic Terms'!$A$6:$A$101,B87,'Academic Terms'!$B$6:$B$101,C87)&lt;&gt;1,"Term not found",IF(OR(D87&lt;SUMIFS('Academic Terms'!$C$6:$C$101,'Academic Terms'!$A$6:$A$101,B87,'Academic Terms'!$B$6:$B$101,C87),E87&gt;SUMIFS('Academic Terms'!$D$6:$D$101,'Academic Terms'!$A$6:$A$101,B87,'Academic Terms'!$B$6:$B$101,C87)),"Yes","No")))</f>
        <v/>
      </c>
      <c r="O87" s="18">
        <f>IF(OR(A87="",B87="",D87="",E87="",J87="",K87="Cancelled"),"",IF(SUMPRODUCT(--($A$6:$A$205&lt;&gt;A87),--($B$6:$B$205=B87),--($J$6:$J$205=J87),--($D$6:$D$205&lt;=E87),--($E$6:$E$205&gt;=D87),--($K$6:$K$205&lt;&gt;"Cancelled"))&gt;0,"Yes","No"))</f>
        <v/>
      </c>
      <c r="P87" s="18">
        <f>IF(COUNTA(A87:L87)=0,"",IF(OR(A87="",B87="",C87="",D87="",E87="",F87="",G87="",K87=""),"Missing required fields",IF(COUNTIF($A$6:$A$205,A87)&gt;1,"Duplicate Event ID",IF(E87&lt;D87,"End date before start date",IF(N87="Term not found","Term not found",IF(N87="Yes","Outside term",IF(O87="Yes","Owner conflict",IF(AND(E87&lt;Dashboard!$B$4,K87&lt;&gt;"Completed",K87&lt;&gt;"Cancelled"),"Past event not completed",""))))))))</f>
        <v/>
      </c>
    </row>
    <row r="88">
      <c r="A88" s="16" t="n"/>
      <c r="B88" s="16" t="n"/>
      <c r="C88" s="16" t="n"/>
      <c r="D88" s="26" t="n"/>
      <c r="E88" s="26" t="n"/>
      <c r="F88" s="16" t="n"/>
      <c r="G88" s="16" t="n"/>
      <c r="H88" s="16" t="n"/>
      <c r="I88" s="16" t="n"/>
      <c r="J88" s="16" t="n"/>
      <c r="K88" s="16" t="n"/>
      <c r="L88" s="16" t="n"/>
      <c r="M88" s="18">
        <f>IF(OR(D88="",E88=""),"",IF(E88&lt;D88,"",E88-D88+1))</f>
        <v/>
      </c>
      <c r="N88" s="18">
        <f>IF(OR(B88="",C88="",D88="",E88=""),"",IF(COUNTIFS('Academic Terms'!$A$6:$A$101,B88,'Academic Terms'!$B$6:$B$101,C88)&lt;&gt;1,"Term not found",IF(OR(D88&lt;SUMIFS('Academic Terms'!$C$6:$C$101,'Academic Terms'!$A$6:$A$101,B88,'Academic Terms'!$B$6:$B$101,C88),E88&gt;SUMIFS('Academic Terms'!$D$6:$D$101,'Academic Terms'!$A$6:$A$101,B88,'Academic Terms'!$B$6:$B$101,C88)),"Yes","No")))</f>
        <v/>
      </c>
      <c r="O88" s="18">
        <f>IF(OR(A88="",B88="",D88="",E88="",J88="",K88="Cancelled"),"",IF(SUMPRODUCT(--($A$6:$A$205&lt;&gt;A88),--($B$6:$B$205=B88),--($J$6:$J$205=J88),--($D$6:$D$205&lt;=E88),--($E$6:$E$205&gt;=D88),--($K$6:$K$205&lt;&gt;"Cancelled"))&gt;0,"Yes","No"))</f>
        <v/>
      </c>
      <c r="P88" s="18">
        <f>IF(COUNTA(A88:L88)=0,"",IF(OR(A88="",B88="",C88="",D88="",E88="",F88="",G88="",K88=""),"Missing required fields",IF(COUNTIF($A$6:$A$205,A88)&gt;1,"Duplicate Event ID",IF(E88&lt;D88,"End date before start date",IF(N88="Term not found","Term not found",IF(N88="Yes","Outside term",IF(O88="Yes","Owner conflict",IF(AND(E88&lt;Dashboard!$B$4,K88&lt;&gt;"Completed",K88&lt;&gt;"Cancelled"),"Past event not completed",""))))))))</f>
        <v/>
      </c>
    </row>
    <row r="89">
      <c r="A89" s="16" t="n"/>
      <c r="B89" s="16" t="n"/>
      <c r="C89" s="16" t="n"/>
      <c r="D89" s="26" t="n"/>
      <c r="E89" s="26" t="n"/>
      <c r="F89" s="16" t="n"/>
      <c r="G89" s="16" t="n"/>
      <c r="H89" s="16" t="n"/>
      <c r="I89" s="16" t="n"/>
      <c r="J89" s="16" t="n"/>
      <c r="K89" s="16" t="n"/>
      <c r="L89" s="16" t="n"/>
      <c r="M89" s="18">
        <f>IF(OR(D89="",E89=""),"",IF(E89&lt;D89,"",E89-D89+1))</f>
        <v/>
      </c>
      <c r="N89" s="18">
        <f>IF(OR(B89="",C89="",D89="",E89=""),"",IF(COUNTIFS('Academic Terms'!$A$6:$A$101,B89,'Academic Terms'!$B$6:$B$101,C89)&lt;&gt;1,"Term not found",IF(OR(D89&lt;SUMIFS('Academic Terms'!$C$6:$C$101,'Academic Terms'!$A$6:$A$101,B89,'Academic Terms'!$B$6:$B$101,C89),E89&gt;SUMIFS('Academic Terms'!$D$6:$D$101,'Academic Terms'!$A$6:$A$101,B89,'Academic Terms'!$B$6:$B$101,C89)),"Yes","No")))</f>
        <v/>
      </c>
      <c r="O89" s="18">
        <f>IF(OR(A89="",B89="",D89="",E89="",J89="",K89="Cancelled"),"",IF(SUMPRODUCT(--($A$6:$A$205&lt;&gt;A89),--($B$6:$B$205=B89),--($J$6:$J$205=J89),--($D$6:$D$205&lt;=E89),--($E$6:$E$205&gt;=D89),--($K$6:$K$205&lt;&gt;"Cancelled"))&gt;0,"Yes","No"))</f>
        <v/>
      </c>
      <c r="P89" s="18">
        <f>IF(COUNTA(A89:L89)=0,"",IF(OR(A89="",B89="",C89="",D89="",E89="",F89="",G89="",K89=""),"Missing required fields",IF(COUNTIF($A$6:$A$205,A89)&gt;1,"Duplicate Event ID",IF(E89&lt;D89,"End date before start date",IF(N89="Term not found","Term not found",IF(N89="Yes","Outside term",IF(O89="Yes","Owner conflict",IF(AND(E89&lt;Dashboard!$B$4,K89&lt;&gt;"Completed",K89&lt;&gt;"Cancelled"),"Past event not completed",""))))))))</f>
        <v/>
      </c>
    </row>
    <row r="90">
      <c r="A90" s="16" t="n"/>
      <c r="B90" s="16" t="n"/>
      <c r="C90" s="16" t="n"/>
      <c r="D90" s="26" t="n"/>
      <c r="E90" s="26" t="n"/>
      <c r="F90" s="16" t="n"/>
      <c r="G90" s="16" t="n"/>
      <c r="H90" s="16" t="n"/>
      <c r="I90" s="16" t="n"/>
      <c r="J90" s="16" t="n"/>
      <c r="K90" s="16" t="n"/>
      <c r="L90" s="16" t="n"/>
      <c r="M90" s="18">
        <f>IF(OR(D90="",E90=""),"",IF(E90&lt;D90,"",E90-D90+1))</f>
        <v/>
      </c>
      <c r="N90" s="18">
        <f>IF(OR(B90="",C90="",D90="",E90=""),"",IF(COUNTIFS('Academic Terms'!$A$6:$A$101,B90,'Academic Terms'!$B$6:$B$101,C90)&lt;&gt;1,"Term not found",IF(OR(D90&lt;SUMIFS('Academic Terms'!$C$6:$C$101,'Academic Terms'!$A$6:$A$101,B90,'Academic Terms'!$B$6:$B$101,C90),E90&gt;SUMIFS('Academic Terms'!$D$6:$D$101,'Academic Terms'!$A$6:$A$101,B90,'Academic Terms'!$B$6:$B$101,C90)),"Yes","No")))</f>
        <v/>
      </c>
      <c r="O90" s="18">
        <f>IF(OR(A90="",B90="",D90="",E90="",J90="",K90="Cancelled"),"",IF(SUMPRODUCT(--($A$6:$A$205&lt;&gt;A90),--($B$6:$B$205=B90),--($J$6:$J$205=J90),--($D$6:$D$205&lt;=E90),--($E$6:$E$205&gt;=D90),--($K$6:$K$205&lt;&gt;"Cancelled"))&gt;0,"Yes","No"))</f>
        <v/>
      </c>
      <c r="P90" s="18">
        <f>IF(COUNTA(A90:L90)=0,"",IF(OR(A90="",B90="",C90="",D90="",E90="",F90="",G90="",K90=""),"Missing required fields",IF(COUNTIF($A$6:$A$205,A90)&gt;1,"Duplicate Event ID",IF(E90&lt;D90,"End date before start date",IF(N90="Term not found","Term not found",IF(N90="Yes","Outside term",IF(O90="Yes","Owner conflict",IF(AND(E90&lt;Dashboard!$B$4,K90&lt;&gt;"Completed",K90&lt;&gt;"Cancelled"),"Past event not completed",""))))))))</f>
        <v/>
      </c>
    </row>
    <row r="91">
      <c r="A91" s="16" t="n"/>
      <c r="B91" s="16" t="n"/>
      <c r="C91" s="16" t="n"/>
      <c r="D91" s="26" t="n"/>
      <c r="E91" s="26" t="n"/>
      <c r="F91" s="16" t="n"/>
      <c r="G91" s="16" t="n"/>
      <c r="H91" s="16" t="n"/>
      <c r="I91" s="16" t="n"/>
      <c r="J91" s="16" t="n"/>
      <c r="K91" s="16" t="n"/>
      <c r="L91" s="16" t="n"/>
      <c r="M91" s="18">
        <f>IF(OR(D91="",E91=""),"",IF(E91&lt;D91,"",E91-D91+1))</f>
        <v/>
      </c>
      <c r="N91" s="18">
        <f>IF(OR(B91="",C91="",D91="",E91=""),"",IF(COUNTIFS('Academic Terms'!$A$6:$A$101,B91,'Academic Terms'!$B$6:$B$101,C91)&lt;&gt;1,"Term not found",IF(OR(D91&lt;SUMIFS('Academic Terms'!$C$6:$C$101,'Academic Terms'!$A$6:$A$101,B91,'Academic Terms'!$B$6:$B$101,C91),E91&gt;SUMIFS('Academic Terms'!$D$6:$D$101,'Academic Terms'!$A$6:$A$101,B91,'Academic Terms'!$B$6:$B$101,C91)),"Yes","No")))</f>
        <v/>
      </c>
      <c r="O91" s="18">
        <f>IF(OR(A91="",B91="",D91="",E91="",J91="",K91="Cancelled"),"",IF(SUMPRODUCT(--($A$6:$A$205&lt;&gt;A91),--($B$6:$B$205=B91),--($J$6:$J$205=J91),--($D$6:$D$205&lt;=E91),--($E$6:$E$205&gt;=D91),--($K$6:$K$205&lt;&gt;"Cancelled"))&gt;0,"Yes","No"))</f>
        <v/>
      </c>
      <c r="P91" s="18">
        <f>IF(COUNTA(A91:L91)=0,"",IF(OR(A91="",B91="",C91="",D91="",E91="",F91="",G91="",K91=""),"Missing required fields",IF(COUNTIF($A$6:$A$205,A91)&gt;1,"Duplicate Event ID",IF(E91&lt;D91,"End date before start date",IF(N91="Term not found","Term not found",IF(N91="Yes","Outside term",IF(O91="Yes","Owner conflict",IF(AND(E91&lt;Dashboard!$B$4,K91&lt;&gt;"Completed",K91&lt;&gt;"Cancelled"),"Past event not completed",""))))))))</f>
        <v/>
      </c>
    </row>
    <row r="92">
      <c r="A92" s="16" t="n"/>
      <c r="B92" s="16" t="n"/>
      <c r="C92" s="16" t="n"/>
      <c r="D92" s="26" t="n"/>
      <c r="E92" s="26" t="n"/>
      <c r="F92" s="16" t="n"/>
      <c r="G92" s="16" t="n"/>
      <c r="H92" s="16" t="n"/>
      <c r="I92" s="16" t="n"/>
      <c r="J92" s="16" t="n"/>
      <c r="K92" s="16" t="n"/>
      <c r="L92" s="16" t="n"/>
      <c r="M92" s="18">
        <f>IF(OR(D92="",E92=""),"",IF(E92&lt;D92,"",E92-D92+1))</f>
        <v/>
      </c>
      <c r="N92" s="18">
        <f>IF(OR(B92="",C92="",D92="",E92=""),"",IF(COUNTIFS('Academic Terms'!$A$6:$A$101,B92,'Academic Terms'!$B$6:$B$101,C92)&lt;&gt;1,"Term not found",IF(OR(D92&lt;SUMIFS('Academic Terms'!$C$6:$C$101,'Academic Terms'!$A$6:$A$101,B92,'Academic Terms'!$B$6:$B$101,C92),E92&gt;SUMIFS('Academic Terms'!$D$6:$D$101,'Academic Terms'!$A$6:$A$101,B92,'Academic Terms'!$B$6:$B$101,C92)),"Yes","No")))</f>
        <v/>
      </c>
      <c r="O92" s="18">
        <f>IF(OR(A92="",B92="",D92="",E92="",J92="",K92="Cancelled"),"",IF(SUMPRODUCT(--($A$6:$A$205&lt;&gt;A92),--($B$6:$B$205=B92),--($J$6:$J$205=J92),--($D$6:$D$205&lt;=E92),--($E$6:$E$205&gt;=D92),--($K$6:$K$205&lt;&gt;"Cancelled"))&gt;0,"Yes","No"))</f>
        <v/>
      </c>
      <c r="P92" s="18">
        <f>IF(COUNTA(A92:L92)=0,"",IF(OR(A92="",B92="",C92="",D92="",E92="",F92="",G92="",K92=""),"Missing required fields",IF(COUNTIF($A$6:$A$205,A92)&gt;1,"Duplicate Event ID",IF(E92&lt;D92,"End date before start date",IF(N92="Term not found","Term not found",IF(N92="Yes","Outside term",IF(O92="Yes","Owner conflict",IF(AND(E92&lt;Dashboard!$B$4,K92&lt;&gt;"Completed",K92&lt;&gt;"Cancelled"),"Past event not completed",""))))))))</f>
        <v/>
      </c>
    </row>
    <row r="93">
      <c r="A93" s="16" t="n"/>
      <c r="B93" s="16" t="n"/>
      <c r="C93" s="16" t="n"/>
      <c r="D93" s="26" t="n"/>
      <c r="E93" s="26" t="n"/>
      <c r="F93" s="16" t="n"/>
      <c r="G93" s="16" t="n"/>
      <c r="H93" s="16" t="n"/>
      <c r="I93" s="16" t="n"/>
      <c r="J93" s="16" t="n"/>
      <c r="K93" s="16" t="n"/>
      <c r="L93" s="16" t="n"/>
      <c r="M93" s="18">
        <f>IF(OR(D93="",E93=""),"",IF(E93&lt;D93,"",E93-D93+1))</f>
        <v/>
      </c>
      <c r="N93" s="18">
        <f>IF(OR(B93="",C93="",D93="",E93=""),"",IF(COUNTIFS('Academic Terms'!$A$6:$A$101,B93,'Academic Terms'!$B$6:$B$101,C93)&lt;&gt;1,"Term not found",IF(OR(D93&lt;SUMIFS('Academic Terms'!$C$6:$C$101,'Academic Terms'!$A$6:$A$101,B93,'Academic Terms'!$B$6:$B$101,C93),E93&gt;SUMIFS('Academic Terms'!$D$6:$D$101,'Academic Terms'!$A$6:$A$101,B93,'Academic Terms'!$B$6:$B$101,C93)),"Yes","No")))</f>
        <v/>
      </c>
      <c r="O93" s="18">
        <f>IF(OR(A93="",B93="",D93="",E93="",J93="",K93="Cancelled"),"",IF(SUMPRODUCT(--($A$6:$A$205&lt;&gt;A93),--($B$6:$B$205=B93),--($J$6:$J$205=J93),--($D$6:$D$205&lt;=E93),--($E$6:$E$205&gt;=D93),--($K$6:$K$205&lt;&gt;"Cancelled"))&gt;0,"Yes","No"))</f>
        <v/>
      </c>
      <c r="P93" s="18">
        <f>IF(COUNTA(A93:L93)=0,"",IF(OR(A93="",B93="",C93="",D93="",E93="",F93="",G93="",K93=""),"Missing required fields",IF(COUNTIF($A$6:$A$205,A93)&gt;1,"Duplicate Event ID",IF(E93&lt;D93,"End date before start date",IF(N93="Term not found","Term not found",IF(N93="Yes","Outside term",IF(O93="Yes","Owner conflict",IF(AND(E93&lt;Dashboard!$B$4,K93&lt;&gt;"Completed",K93&lt;&gt;"Cancelled"),"Past event not completed",""))))))))</f>
        <v/>
      </c>
    </row>
    <row r="94">
      <c r="A94" s="16" t="n"/>
      <c r="B94" s="16" t="n"/>
      <c r="C94" s="16" t="n"/>
      <c r="D94" s="26" t="n"/>
      <c r="E94" s="26" t="n"/>
      <c r="F94" s="16" t="n"/>
      <c r="G94" s="16" t="n"/>
      <c r="H94" s="16" t="n"/>
      <c r="I94" s="16" t="n"/>
      <c r="J94" s="16" t="n"/>
      <c r="K94" s="16" t="n"/>
      <c r="L94" s="16" t="n"/>
      <c r="M94" s="18">
        <f>IF(OR(D94="",E94=""),"",IF(E94&lt;D94,"",E94-D94+1))</f>
        <v/>
      </c>
      <c r="N94" s="18">
        <f>IF(OR(B94="",C94="",D94="",E94=""),"",IF(COUNTIFS('Academic Terms'!$A$6:$A$101,B94,'Academic Terms'!$B$6:$B$101,C94)&lt;&gt;1,"Term not found",IF(OR(D94&lt;SUMIFS('Academic Terms'!$C$6:$C$101,'Academic Terms'!$A$6:$A$101,B94,'Academic Terms'!$B$6:$B$101,C94),E94&gt;SUMIFS('Academic Terms'!$D$6:$D$101,'Academic Terms'!$A$6:$A$101,B94,'Academic Terms'!$B$6:$B$101,C94)),"Yes","No")))</f>
        <v/>
      </c>
      <c r="O94" s="18">
        <f>IF(OR(A94="",B94="",D94="",E94="",J94="",K94="Cancelled"),"",IF(SUMPRODUCT(--($A$6:$A$205&lt;&gt;A94),--($B$6:$B$205=B94),--($J$6:$J$205=J94),--($D$6:$D$205&lt;=E94),--($E$6:$E$205&gt;=D94),--($K$6:$K$205&lt;&gt;"Cancelled"))&gt;0,"Yes","No"))</f>
        <v/>
      </c>
      <c r="P94" s="18">
        <f>IF(COUNTA(A94:L94)=0,"",IF(OR(A94="",B94="",C94="",D94="",E94="",F94="",G94="",K94=""),"Missing required fields",IF(COUNTIF($A$6:$A$205,A94)&gt;1,"Duplicate Event ID",IF(E94&lt;D94,"End date before start date",IF(N94="Term not found","Term not found",IF(N94="Yes","Outside term",IF(O94="Yes","Owner conflict",IF(AND(E94&lt;Dashboard!$B$4,K94&lt;&gt;"Completed",K94&lt;&gt;"Cancelled"),"Past event not completed",""))))))))</f>
        <v/>
      </c>
    </row>
    <row r="95">
      <c r="A95" s="16" t="n"/>
      <c r="B95" s="16" t="n"/>
      <c r="C95" s="16" t="n"/>
      <c r="D95" s="26" t="n"/>
      <c r="E95" s="26" t="n"/>
      <c r="F95" s="16" t="n"/>
      <c r="G95" s="16" t="n"/>
      <c r="H95" s="16" t="n"/>
      <c r="I95" s="16" t="n"/>
      <c r="J95" s="16" t="n"/>
      <c r="K95" s="16" t="n"/>
      <c r="L95" s="16" t="n"/>
      <c r="M95" s="18">
        <f>IF(OR(D95="",E95=""),"",IF(E95&lt;D95,"",E95-D95+1))</f>
        <v/>
      </c>
      <c r="N95" s="18">
        <f>IF(OR(B95="",C95="",D95="",E95=""),"",IF(COUNTIFS('Academic Terms'!$A$6:$A$101,B95,'Academic Terms'!$B$6:$B$101,C95)&lt;&gt;1,"Term not found",IF(OR(D95&lt;SUMIFS('Academic Terms'!$C$6:$C$101,'Academic Terms'!$A$6:$A$101,B95,'Academic Terms'!$B$6:$B$101,C95),E95&gt;SUMIFS('Academic Terms'!$D$6:$D$101,'Academic Terms'!$A$6:$A$101,B95,'Academic Terms'!$B$6:$B$101,C95)),"Yes","No")))</f>
        <v/>
      </c>
      <c r="O95" s="18">
        <f>IF(OR(A95="",B95="",D95="",E95="",J95="",K95="Cancelled"),"",IF(SUMPRODUCT(--($A$6:$A$205&lt;&gt;A95),--($B$6:$B$205=B95),--($J$6:$J$205=J95),--($D$6:$D$205&lt;=E95),--($E$6:$E$205&gt;=D95),--($K$6:$K$205&lt;&gt;"Cancelled"))&gt;0,"Yes","No"))</f>
        <v/>
      </c>
      <c r="P95" s="18">
        <f>IF(COUNTA(A95:L95)=0,"",IF(OR(A95="",B95="",C95="",D95="",E95="",F95="",G95="",K95=""),"Missing required fields",IF(COUNTIF($A$6:$A$205,A95)&gt;1,"Duplicate Event ID",IF(E95&lt;D95,"End date before start date",IF(N95="Term not found","Term not found",IF(N95="Yes","Outside term",IF(O95="Yes","Owner conflict",IF(AND(E95&lt;Dashboard!$B$4,K95&lt;&gt;"Completed",K95&lt;&gt;"Cancelled"),"Past event not completed",""))))))))</f>
        <v/>
      </c>
    </row>
    <row r="96">
      <c r="A96" s="16" t="n"/>
      <c r="B96" s="16" t="n"/>
      <c r="C96" s="16" t="n"/>
      <c r="D96" s="26" t="n"/>
      <c r="E96" s="26" t="n"/>
      <c r="F96" s="16" t="n"/>
      <c r="G96" s="16" t="n"/>
      <c r="H96" s="16" t="n"/>
      <c r="I96" s="16" t="n"/>
      <c r="J96" s="16" t="n"/>
      <c r="K96" s="16" t="n"/>
      <c r="L96" s="16" t="n"/>
      <c r="M96" s="18">
        <f>IF(OR(D96="",E96=""),"",IF(E96&lt;D96,"",E96-D96+1))</f>
        <v/>
      </c>
      <c r="N96" s="18">
        <f>IF(OR(B96="",C96="",D96="",E96=""),"",IF(COUNTIFS('Academic Terms'!$A$6:$A$101,B96,'Academic Terms'!$B$6:$B$101,C96)&lt;&gt;1,"Term not found",IF(OR(D96&lt;SUMIFS('Academic Terms'!$C$6:$C$101,'Academic Terms'!$A$6:$A$101,B96,'Academic Terms'!$B$6:$B$101,C96),E96&gt;SUMIFS('Academic Terms'!$D$6:$D$101,'Academic Terms'!$A$6:$A$101,B96,'Academic Terms'!$B$6:$B$101,C96)),"Yes","No")))</f>
        <v/>
      </c>
      <c r="O96" s="18">
        <f>IF(OR(A96="",B96="",D96="",E96="",J96="",K96="Cancelled"),"",IF(SUMPRODUCT(--($A$6:$A$205&lt;&gt;A96),--($B$6:$B$205=B96),--($J$6:$J$205=J96),--($D$6:$D$205&lt;=E96),--($E$6:$E$205&gt;=D96),--($K$6:$K$205&lt;&gt;"Cancelled"))&gt;0,"Yes","No"))</f>
        <v/>
      </c>
      <c r="P96" s="18">
        <f>IF(COUNTA(A96:L96)=0,"",IF(OR(A96="",B96="",C96="",D96="",E96="",F96="",G96="",K96=""),"Missing required fields",IF(COUNTIF($A$6:$A$205,A96)&gt;1,"Duplicate Event ID",IF(E96&lt;D96,"End date before start date",IF(N96="Term not found","Term not found",IF(N96="Yes","Outside term",IF(O96="Yes","Owner conflict",IF(AND(E96&lt;Dashboard!$B$4,K96&lt;&gt;"Completed",K96&lt;&gt;"Cancelled"),"Past event not completed",""))))))))</f>
        <v/>
      </c>
    </row>
    <row r="97">
      <c r="A97" s="16" t="n"/>
      <c r="B97" s="16" t="n"/>
      <c r="C97" s="16" t="n"/>
      <c r="D97" s="26" t="n"/>
      <c r="E97" s="26" t="n"/>
      <c r="F97" s="16" t="n"/>
      <c r="G97" s="16" t="n"/>
      <c r="H97" s="16" t="n"/>
      <c r="I97" s="16" t="n"/>
      <c r="J97" s="16" t="n"/>
      <c r="K97" s="16" t="n"/>
      <c r="L97" s="16" t="n"/>
      <c r="M97" s="18">
        <f>IF(OR(D97="",E97=""),"",IF(E97&lt;D97,"",E97-D97+1))</f>
        <v/>
      </c>
      <c r="N97" s="18">
        <f>IF(OR(B97="",C97="",D97="",E97=""),"",IF(COUNTIFS('Academic Terms'!$A$6:$A$101,B97,'Academic Terms'!$B$6:$B$101,C97)&lt;&gt;1,"Term not found",IF(OR(D97&lt;SUMIFS('Academic Terms'!$C$6:$C$101,'Academic Terms'!$A$6:$A$101,B97,'Academic Terms'!$B$6:$B$101,C97),E97&gt;SUMIFS('Academic Terms'!$D$6:$D$101,'Academic Terms'!$A$6:$A$101,B97,'Academic Terms'!$B$6:$B$101,C97)),"Yes","No")))</f>
        <v/>
      </c>
      <c r="O97" s="18">
        <f>IF(OR(A97="",B97="",D97="",E97="",J97="",K97="Cancelled"),"",IF(SUMPRODUCT(--($A$6:$A$205&lt;&gt;A97),--($B$6:$B$205=B97),--($J$6:$J$205=J97),--($D$6:$D$205&lt;=E97),--($E$6:$E$205&gt;=D97),--($K$6:$K$205&lt;&gt;"Cancelled"))&gt;0,"Yes","No"))</f>
        <v/>
      </c>
      <c r="P97" s="18">
        <f>IF(COUNTA(A97:L97)=0,"",IF(OR(A97="",B97="",C97="",D97="",E97="",F97="",G97="",K97=""),"Missing required fields",IF(COUNTIF($A$6:$A$205,A97)&gt;1,"Duplicate Event ID",IF(E97&lt;D97,"End date before start date",IF(N97="Term not found","Term not found",IF(N97="Yes","Outside term",IF(O97="Yes","Owner conflict",IF(AND(E97&lt;Dashboard!$B$4,K97&lt;&gt;"Completed",K97&lt;&gt;"Cancelled"),"Past event not completed",""))))))))</f>
        <v/>
      </c>
    </row>
    <row r="98">
      <c r="A98" s="16" t="n"/>
      <c r="B98" s="16" t="n"/>
      <c r="C98" s="16" t="n"/>
      <c r="D98" s="26" t="n"/>
      <c r="E98" s="26" t="n"/>
      <c r="F98" s="16" t="n"/>
      <c r="G98" s="16" t="n"/>
      <c r="H98" s="16" t="n"/>
      <c r="I98" s="16" t="n"/>
      <c r="J98" s="16" t="n"/>
      <c r="K98" s="16" t="n"/>
      <c r="L98" s="16" t="n"/>
      <c r="M98" s="18">
        <f>IF(OR(D98="",E98=""),"",IF(E98&lt;D98,"",E98-D98+1))</f>
        <v/>
      </c>
      <c r="N98" s="18">
        <f>IF(OR(B98="",C98="",D98="",E98=""),"",IF(COUNTIFS('Academic Terms'!$A$6:$A$101,B98,'Academic Terms'!$B$6:$B$101,C98)&lt;&gt;1,"Term not found",IF(OR(D98&lt;SUMIFS('Academic Terms'!$C$6:$C$101,'Academic Terms'!$A$6:$A$101,B98,'Academic Terms'!$B$6:$B$101,C98),E98&gt;SUMIFS('Academic Terms'!$D$6:$D$101,'Academic Terms'!$A$6:$A$101,B98,'Academic Terms'!$B$6:$B$101,C98)),"Yes","No")))</f>
        <v/>
      </c>
      <c r="O98" s="18">
        <f>IF(OR(A98="",B98="",D98="",E98="",J98="",K98="Cancelled"),"",IF(SUMPRODUCT(--($A$6:$A$205&lt;&gt;A98),--($B$6:$B$205=B98),--($J$6:$J$205=J98),--($D$6:$D$205&lt;=E98),--($E$6:$E$205&gt;=D98),--($K$6:$K$205&lt;&gt;"Cancelled"))&gt;0,"Yes","No"))</f>
        <v/>
      </c>
      <c r="P98" s="18">
        <f>IF(COUNTA(A98:L98)=0,"",IF(OR(A98="",B98="",C98="",D98="",E98="",F98="",G98="",K98=""),"Missing required fields",IF(COUNTIF($A$6:$A$205,A98)&gt;1,"Duplicate Event ID",IF(E98&lt;D98,"End date before start date",IF(N98="Term not found","Term not found",IF(N98="Yes","Outside term",IF(O98="Yes","Owner conflict",IF(AND(E98&lt;Dashboard!$B$4,K98&lt;&gt;"Completed",K98&lt;&gt;"Cancelled"),"Past event not completed",""))))))))</f>
        <v/>
      </c>
    </row>
    <row r="99">
      <c r="A99" s="16" t="n"/>
      <c r="B99" s="16" t="n"/>
      <c r="C99" s="16" t="n"/>
      <c r="D99" s="26" t="n"/>
      <c r="E99" s="26" t="n"/>
      <c r="F99" s="16" t="n"/>
      <c r="G99" s="16" t="n"/>
      <c r="H99" s="16" t="n"/>
      <c r="I99" s="16" t="n"/>
      <c r="J99" s="16" t="n"/>
      <c r="K99" s="16" t="n"/>
      <c r="L99" s="16" t="n"/>
      <c r="M99" s="18">
        <f>IF(OR(D99="",E99=""),"",IF(E99&lt;D99,"",E99-D99+1))</f>
        <v/>
      </c>
      <c r="N99" s="18">
        <f>IF(OR(B99="",C99="",D99="",E99=""),"",IF(COUNTIFS('Academic Terms'!$A$6:$A$101,B99,'Academic Terms'!$B$6:$B$101,C99)&lt;&gt;1,"Term not found",IF(OR(D99&lt;SUMIFS('Academic Terms'!$C$6:$C$101,'Academic Terms'!$A$6:$A$101,B99,'Academic Terms'!$B$6:$B$101,C99),E99&gt;SUMIFS('Academic Terms'!$D$6:$D$101,'Academic Terms'!$A$6:$A$101,B99,'Academic Terms'!$B$6:$B$101,C99)),"Yes","No")))</f>
        <v/>
      </c>
      <c r="O99" s="18">
        <f>IF(OR(A99="",B99="",D99="",E99="",J99="",K99="Cancelled"),"",IF(SUMPRODUCT(--($A$6:$A$205&lt;&gt;A99),--($B$6:$B$205=B99),--($J$6:$J$205=J99),--($D$6:$D$205&lt;=E99),--($E$6:$E$205&gt;=D99),--($K$6:$K$205&lt;&gt;"Cancelled"))&gt;0,"Yes","No"))</f>
        <v/>
      </c>
      <c r="P99" s="18">
        <f>IF(COUNTA(A99:L99)=0,"",IF(OR(A99="",B99="",C99="",D99="",E99="",F99="",G99="",K99=""),"Missing required fields",IF(COUNTIF($A$6:$A$205,A99)&gt;1,"Duplicate Event ID",IF(E99&lt;D99,"End date before start date",IF(N99="Term not found","Term not found",IF(N99="Yes","Outside term",IF(O99="Yes","Owner conflict",IF(AND(E99&lt;Dashboard!$B$4,K99&lt;&gt;"Completed",K99&lt;&gt;"Cancelled"),"Past event not completed",""))))))))</f>
        <v/>
      </c>
    </row>
    <row r="100">
      <c r="A100" s="16" t="n"/>
      <c r="B100" s="16" t="n"/>
      <c r="C100" s="16" t="n"/>
      <c r="D100" s="26" t="n"/>
      <c r="E100" s="26" t="n"/>
      <c r="F100" s="16" t="n"/>
      <c r="G100" s="16" t="n"/>
      <c r="H100" s="16" t="n"/>
      <c r="I100" s="16" t="n"/>
      <c r="J100" s="16" t="n"/>
      <c r="K100" s="16" t="n"/>
      <c r="L100" s="16" t="n"/>
      <c r="M100" s="18">
        <f>IF(OR(D100="",E100=""),"",IF(E100&lt;D100,"",E100-D100+1))</f>
        <v/>
      </c>
      <c r="N100" s="18">
        <f>IF(OR(B100="",C100="",D100="",E100=""),"",IF(COUNTIFS('Academic Terms'!$A$6:$A$101,B100,'Academic Terms'!$B$6:$B$101,C100)&lt;&gt;1,"Term not found",IF(OR(D100&lt;SUMIFS('Academic Terms'!$C$6:$C$101,'Academic Terms'!$A$6:$A$101,B100,'Academic Terms'!$B$6:$B$101,C100),E100&gt;SUMIFS('Academic Terms'!$D$6:$D$101,'Academic Terms'!$A$6:$A$101,B100,'Academic Terms'!$B$6:$B$101,C100)),"Yes","No")))</f>
        <v/>
      </c>
      <c r="O100" s="18">
        <f>IF(OR(A100="",B100="",D100="",E100="",J100="",K100="Cancelled"),"",IF(SUMPRODUCT(--($A$6:$A$205&lt;&gt;A100),--($B$6:$B$205=B100),--($J$6:$J$205=J100),--($D$6:$D$205&lt;=E100),--($E$6:$E$205&gt;=D100),--($K$6:$K$205&lt;&gt;"Cancelled"))&gt;0,"Yes","No"))</f>
        <v/>
      </c>
      <c r="P100" s="18">
        <f>IF(COUNTA(A100:L100)=0,"",IF(OR(A100="",B100="",C100="",D100="",E100="",F100="",G100="",K100=""),"Missing required fields",IF(COUNTIF($A$6:$A$205,A100)&gt;1,"Duplicate Event ID",IF(E100&lt;D100,"End date before start date",IF(N100="Term not found","Term not found",IF(N100="Yes","Outside term",IF(O100="Yes","Owner conflict",IF(AND(E100&lt;Dashboard!$B$4,K100&lt;&gt;"Completed",K100&lt;&gt;"Cancelled"),"Past event not completed",""))))))))</f>
        <v/>
      </c>
    </row>
    <row r="101">
      <c r="A101" s="16" t="n"/>
      <c r="B101" s="16" t="n"/>
      <c r="C101" s="16" t="n"/>
      <c r="D101" s="26" t="n"/>
      <c r="E101" s="26" t="n"/>
      <c r="F101" s="16" t="n"/>
      <c r="G101" s="16" t="n"/>
      <c r="H101" s="16" t="n"/>
      <c r="I101" s="16" t="n"/>
      <c r="J101" s="16" t="n"/>
      <c r="K101" s="16" t="n"/>
      <c r="L101" s="16" t="n"/>
      <c r="M101" s="18">
        <f>IF(OR(D101="",E101=""),"",IF(E101&lt;D101,"",E101-D101+1))</f>
        <v/>
      </c>
      <c r="N101" s="18">
        <f>IF(OR(B101="",C101="",D101="",E101=""),"",IF(COUNTIFS('Academic Terms'!$A$6:$A$101,B101,'Academic Terms'!$B$6:$B$101,C101)&lt;&gt;1,"Term not found",IF(OR(D101&lt;SUMIFS('Academic Terms'!$C$6:$C$101,'Academic Terms'!$A$6:$A$101,B101,'Academic Terms'!$B$6:$B$101,C101),E101&gt;SUMIFS('Academic Terms'!$D$6:$D$101,'Academic Terms'!$A$6:$A$101,B101,'Academic Terms'!$B$6:$B$101,C101)),"Yes","No")))</f>
        <v/>
      </c>
      <c r="O101" s="18">
        <f>IF(OR(A101="",B101="",D101="",E101="",J101="",K101="Cancelled"),"",IF(SUMPRODUCT(--($A$6:$A$205&lt;&gt;A101),--($B$6:$B$205=B101),--($J$6:$J$205=J101),--($D$6:$D$205&lt;=E101),--($E$6:$E$205&gt;=D101),--($K$6:$K$205&lt;&gt;"Cancelled"))&gt;0,"Yes","No"))</f>
        <v/>
      </c>
      <c r="P101" s="18">
        <f>IF(COUNTA(A101:L101)=0,"",IF(OR(A101="",B101="",C101="",D101="",E101="",F101="",G101="",K101=""),"Missing required fields",IF(COUNTIF($A$6:$A$205,A101)&gt;1,"Duplicate Event ID",IF(E101&lt;D101,"End date before start date",IF(N101="Term not found","Term not found",IF(N101="Yes","Outside term",IF(O101="Yes","Owner conflict",IF(AND(E101&lt;Dashboard!$B$4,K101&lt;&gt;"Completed",K101&lt;&gt;"Cancelled"),"Past event not completed",""))))))))</f>
        <v/>
      </c>
    </row>
    <row r="102">
      <c r="A102" s="16" t="n"/>
      <c r="B102" s="16" t="n"/>
      <c r="C102" s="16" t="n"/>
      <c r="D102" s="26" t="n"/>
      <c r="E102" s="26" t="n"/>
      <c r="F102" s="16" t="n"/>
      <c r="G102" s="16" t="n"/>
      <c r="H102" s="16" t="n"/>
      <c r="I102" s="16" t="n"/>
      <c r="J102" s="16" t="n"/>
      <c r="K102" s="16" t="n"/>
      <c r="L102" s="16" t="n"/>
      <c r="M102" s="18">
        <f>IF(OR(D102="",E102=""),"",IF(E102&lt;D102,"",E102-D102+1))</f>
        <v/>
      </c>
      <c r="N102" s="18">
        <f>IF(OR(B102="",C102="",D102="",E102=""),"",IF(COUNTIFS('Academic Terms'!$A$6:$A$101,B102,'Academic Terms'!$B$6:$B$101,C102)&lt;&gt;1,"Term not found",IF(OR(D102&lt;SUMIFS('Academic Terms'!$C$6:$C$101,'Academic Terms'!$A$6:$A$101,B102,'Academic Terms'!$B$6:$B$101,C102),E102&gt;SUMIFS('Academic Terms'!$D$6:$D$101,'Academic Terms'!$A$6:$A$101,B102,'Academic Terms'!$B$6:$B$101,C102)),"Yes","No")))</f>
        <v/>
      </c>
      <c r="O102" s="18">
        <f>IF(OR(A102="",B102="",D102="",E102="",J102="",K102="Cancelled"),"",IF(SUMPRODUCT(--($A$6:$A$205&lt;&gt;A102),--($B$6:$B$205=B102),--($J$6:$J$205=J102),--($D$6:$D$205&lt;=E102),--($E$6:$E$205&gt;=D102),--($K$6:$K$205&lt;&gt;"Cancelled"))&gt;0,"Yes","No"))</f>
        <v/>
      </c>
      <c r="P102" s="18">
        <f>IF(COUNTA(A102:L102)=0,"",IF(OR(A102="",B102="",C102="",D102="",E102="",F102="",G102="",K102=""),"Missing required fields",IF(COUNTIF($A$6:$A$205,A102)&gt;1,"Duplicate Event ID",IF(E102&lt;D102,"End date before start date",IF(N102="Term not found","Term not found",IF(N102="Yes","Outside term",IF(O102="Yes","Owner conflict",IF(AND(E102&lt;Dashboard!$B$4,K102&lt;&gt;"Completed",K102&lt;&gt;"Cancelled"),"Past event not completed",""))))))))</f>
        <v/>
      </c>
    </row>
    <row r="103">
      <c r="A103" s="16" t="n"/>
      <c r="B103" s="16" t="n"/>
      <c r="C103" s="16" t="n"/>
      <c r="D103" s="26" t="n"/>
      <c r="E103" s="26" t="n"/>
      <c r="F103" s="16" t="n"/>
      <c r="G103" s="16" t="n"/>
      <c r="H103" s="16" t="n"/>
      <c r="I103" s="16" t="n"/>
      <c r="J103" s="16" t="n"/>
      <c r="K103" s="16" t="n"/>
      <c r="L103" s="16" t="n"/>
      <c r="M103" s="18">
        <f>IF(OR(D103="",E103=""),"",IF(E103&lt;D103,"",E103-D103+1))</f>
        <v/>
      </c>
      <c r="N103" s="18">
        <f>IF(OR(B103="",C103="",D103="",E103=""),"",IF(COUNTIFS('Academic Terms'!$A$6:$A$101,B103,'Academic Terms'!$B$6:$B$101,C103)&lt;&gt;1,"Term not found",IF(OR(D103&lt;SUMIFS('Academic Terms'!$C$6:$C$101,'Academic Terms'!$A$6:$A$101,B103,'Academic Terms'!$B$6:$B$101,C103),E103&gt;SUMIFS('Academic Terms'!$D$6:$D$101,'Academic Terms'!$A$6:$A$101,B103,'Academic Terms'!$B$6:$B$101,C103)),"Yes","No")))</f>
        <v/>
      </c>
      <c r="O103" s="18">
        <f>IF(OR(A103="",B103="",D103="",E103="",J103="",K103="Cancelled"),"",IF(SUMPRODUCT(--($A$6:$A$205&lt;&gt;A103),--($B$6:$B$205=B103),--($J$6:$J$205=J103),--($D$6:$D$205&lt;=E103),--($E$6:$E$205&gt;=D103),--($K$6:$K$205&lt;&gt;"Cancelled"))&gt;0,"Yes","No"))</f>
        <v/>
      </c>
      <c r="P103" s="18">
        <f>IF(COUNTA(A103:L103)=0,"",IF(OR(A103="",B103="",C103="",D103="",E103="",F103="",G103="",K103=""),"Missing required fields",IF(COUNTIF($A$6:$A$205,A103)&gt;1,"Duplicate Event ID",IF(E103&lt;D103,"End date before start date",IF(N103="Term not found","Term not found",IF(N103="Yes","Outside term",IF(O103="Yes","Owner conflict",IF(AND(E103&lt;Dashboard!$B$4,K103&lt;&gt;"Completed",K103&lt;&gt;"Cancelled"),"Past event not completed",""))))))))</f>
        <v/>
      </c>
    </row>
    <row r="104">
      <c r="A104" s="16" t="n"/>
      <c r="B104" s="16" t="n"/>
      <c r="C104" s="16" t="n"/>
      <c r="D104" s="26" t="n"/>
      <c r="E104" s="26" t="n"/>
      <c r="F104" s="16" t="n"/>
      <c r="G104" s="16" t="n"/>
      <c r="H104" s="16" t="n"/>
      <c r="I104" s="16" t="n"/>
      <c r="J104" s="16" t="n"/>
      <c r="K104" s="16" t="n"/>
      <c r="L104" s="16" t="n"/>
      <c r="M104" s="18">
        <f>IF(OR(D104="",E104=""),"",IF(E104&lt;D104,"",E104-D104+1))</f>
        <v/>
      </c>
      <c r="N104" s="18">
        <f>IF(OR(B104="",C104="",D104="",E104=""),"",IF(COUNTIFS('Academic Terms'!$A$6:$A$101,B104,'Academic Terms'!$B$6:$B$101,C104)&lt;&gt;1,"Term not found",IF(OR(D104&lt;SUMIFS('Academic Terms'!$C$6:$C$101,'Academic Terms'!$A$6:$A$101,B104,'Academic Terms'!$B$6:$B$101,C104),E104&gt;SUMIFS('Academic Terms'!$D$6:$D$101,'Academic Terms'!$A$6:$A$101,B104,'Academic Terms'!$B$6:$B$101,C104)),"Yes","No")))</f>
        <v/>
      </c>
      <c r="O104" s="18">
        <f>IF(OR(A104="",B104="",D104="",E104="",J104="",K104="Cancelled"),"",IF(SUMPRODUCT(--($A$6:$A$205&lt;&gt;A104),--($B$6:$B$205=B104),--($J$6:$J$205=J104),--($D$6:$D$205&lt;=E104),--($E$6:$E$205&gt;=D104),--($K$6:$K$205&lt;&gt;"Cancelled"))&gt;0,"Yes","No"))</f>
        <v/>
      </c>
      <c r="P104" s="18">
        <f>IF(COUNTA(A104:L104)=0,"",IF(OR(A104="",B104="",C104="",D104="",E104="",F104="",G104="",K104=""),"Missing required fields",IF(COUNTIF($A$6:$A$205,A104)&gt;1,"Duplicate Event ID",IF(E104&lt;D104,"End date before start date",IF(N104="Term not found","Term not found",IF(N104="Yes","Outside term",IF(O104="Yes","Owner conflict",IF(AND(E104&lt;Dashboard!$B$4,K104&lt;&gt;"Completed",K104&lt;&gt;"Cancelled"),"Past event not completed",""))))))))</f>
        <v/>
      </c>
    </row>
    <row r="105">
      <c r="A105" s="16" t="n"/>
      <c r="B105" s="16" t="n"/>
      <c r="C105" s="16" t="n"/>
      <c r="D105" s="26" t="n"/>
      <c r="E105" s="26" t="n"/>
      <c r="F105" s="16" t="n"/>
      <c r="G105" s="16" t="n"/>
      <c r="H105" s="16" t="n"/>
      <c r="I105" s="16" t="n"/>
      <c r="J105" s="16" t="n"/>
      <c r="K105" s="16" t="n"/>
      <c r="L105" s="16" t="n"/>
      <c r="M105" s="18">
        <f>IF(OR(D105="",E105=""),"",IF(E105&lt;D105,"",E105-D105+1))</f>
        <v/>
      </c>
      <c r="N105" s="18">
        <f>IF(OR(B105="",C105="",D105="",E105=""),"",IF(COUNTIFS('Academic Terms'!$A$6:$A$101,B105,'Academic Terms'!$B$6:$B$101,C105)&lt;&gt;1,"Term not found",IF(OR(D105&lt;SUMIFS('Academic Terms'!$C$6:$C$101,'Academic Terms'!$A$6:$A$101,B105,'Academic Terms'!$B$6:$B$101,C105),E105&gt;SUMIFS('Academic Terms'!$D$6:$D$101,'Academic Terms'!$A$6:$A$101,B105,'Academic Terms'!$B$6:$B$101,C105)),"Yes","No")))</f>
        <v/>
      </c>
      <c r="O105" s="18">
        <f>IF(OR(A105="",B105="",D105="",E105="",J105="",K105="Cancelled"),"",IF(SUMPRODUCT(--($A$6:$A$205&lt;&gt;A105),--($B$6:$B$205=B105),--($J$6:$J$205=J105),--($D$6:$D$205&lt;=E105),--($E$6:$E$205&gt;=D105),--($K$6:$K$205&lt;&gt;"Cancelled"))&gt;0,"Yes","No"))</f>
        <v/>
      </c>
      <c r="P105" s="18">
        <f>IF(COUNTA(A105:L105)=0,"",IF(OR(A105="",B105="",C105="",D105="",E105="",F105="",G105="",K105=""),"Missing required fields",IF(COUNTIF($A$6:$A$205,A105)&gt;1,"Duplicate Event ID",IF(E105&lt;D105,"End date before start date",IF(N105="Term not found","Term not found",IF(N105="Yes","Outside term",IF(O105="Yes","Owner conflict",IF(AND(E105&lt;Dashboard!$B$4,K105&lt;&gt;"Completed",K105&lt;&gt;"Cancelled"),"Past event not completed",""))))))))</f>
        <v/>
      </c>
    </row>
    <row r="106">
      <c r="A106" s="16" t="n"/>
      <c r="B106" s="16" t="n"/>
      <c r="C106" s="16" t="n"/>
      <c r="D106" s="26" t="n"/>
      <c r="E106" s="26" t="n"/>
      <c r="F106" s="16" t="n"/>
      <c r="G106" s="16" t="n"/>
      <c r="H106" s="16" t="n"/>
      <c r="I106" s="16" t="n"/>
      <c r="J106" s="16" t="n"/>
      <c r="K106" s="16" t="n"/>
      <c r="L106" s="16" t="n"/>
      <c r="M106" s="18">
        <f>IF(OR(D106="",E106=""),"",IF(E106&lt;D106,"",E106-D106+1))</f>
        <v/>
      </c>
      <c r="N106" s="18">
        <f>IF(OR(B106="",C106="",D106="",E106=""),"",IF(COUNTIFS('Academic Terms'!$A$6:$A$101,B106,'Academic Terms'!$B$6:$B$101,C106)&lt;&gt;1,"Term not found",IF(OR(D106&lt;SUMIFS('Academic Terms'!$C$6:$C$101,'Academic Terms'!$A$6:$A$101,B106,'Academic Terms'!$B$6:$B$101,C106),E106&gt;SUMIFS('Academic Terms'!$D$6:$D$101,'Academic Terms'!$A$6:$A$101,B106,'Academic Terms'!$B$6:$B$101,C106)),"Yes","No")))</f>
        <v/>
      </c>
      <c r="O106" s="18">
        <f>IF(OR(A106="",B106="",D106="",E106="",J106="",K106="Cancelled"),"",IF(SUMPRODUCT(--($A$6:$A$205&lt;&gt;A106),--($B$6:$B$205=B106),--($J$6:$J$205=J106),--($D$6:$D$205&lt;=E106),--($E$6:$E$205&gt;=D106),--($K$6:$K$205&lt;&gt;"Cancelled"))&gt;0,"Yes","No"))</f>
        <v/>
      </c>
      <c r="P106" s="18">
        <f>IF(COUNTA(A106:L106)=0,"",IF(OR(A106="",B106="",C106="",D106="",E106="",F106="",G106="",K106=""),"Missing required fields",IF(COUNTIF($A$6:$A$205,A106)&gt;1,"Duplicate Event ID",IF(E106&lt;D106,"End date before start date",IF(N106="Term not found","Term not found",IF(N106="Yes","Outside term",IF(O106="Yes","Owner conflict",IF(AND(E106&lt;Dashboard!$B$4,K106&lt;&gt;"Completed",K106&lt;&gt;"Cancelled"),"Past event not completed",""))))))))</f>
        <v/>
      </c>
    </row>
    <row r="107">
      <c r="A107" s="16" t="n"/>
      <c r="B107" s="16" t="n"/>
      <c r="C107" s="16" t="n"/>
      <c r="D107" s="26" t="n"/>
      <c r="E107" s="26" t="n"/>
      <c r="F107" s="16" t="n"/>
      <c r="G107" s="16" t="n"/>
      <c r="H107" s="16" t="n"/>
      <c r="I107" s="16" t="n"/>
      <c r="J107" s="16" t="n"/>
      <c r="K107" s="16" t="n"/>
      <c r="L107" s="16" t="n"/>
      <c r="M107" s="18">
        <f>IF(OR(D107="",E107=""),"",IF(E107&lt;D107,"",E107-D107+1))</f>
        <v/>
      </c>
      <c r="N107" s="18">
        <f>IF(OR(B107="",C107="",D107="",E107=""),"",IF(COUNTIFS('Academic Terms'!$A$6:$A$101,B107,'Academic Terms'!$B$6:$B$101,C107)&lt;&gt;1,"Term not found",IF(OR(D107&lt;SUMIFS('Academic Terms'!$C$6:$C$101,'Academic Terms'!$A$6:$A$101,B107,'Academic Terms'!$B$6:$B$101,C107),E107&gt;SUMIFS('Academic Terms'!$D$6:$D$101,'Academic Terms'!$A$6:$A$101,B107,'Academic Terms'!$B$6:$B$101,C107)),"Yes","No")))</f>
        <v/>
      </c>
      <c r="O107" s="18">
        <f>IF(OR(A107="",B107="",D107="",E107="",J107="",K107="Cancelled"),"",IF(SUMPRODUCT(--($A$6:$A$205&lt;&gt;A107),--($B$6:$B$205=B107),--($J$6:$J$205=J107),--($D$6:$D$205&lt;=E107),--($E$6:$E$205&gt;=D107),--($K$6:$K$205&lt;&gt;"Cancelled"))&gt;0,"Yes","No"))</f>
        <v/>
      </c>
      <c r="P107" s="18">
        <f>IF(COUNTA(A107:L107)=0,"",IF(OR(A107="",B107="",C107="",D107="",E107="",F107="",G107="",K107=""),"Missing required fields",IF(COUNTIF($A$6:$A$205,A107)&gt;1,"Duplicate Event ID",IF(E107&lt;D107,"End date before start date",IF(N107="Term not found","Term not found",IF(N107="Yes","Outside term",IF(O107="Yes","Owner conflict",IF(AND(E107&lt;Dashboard!$B$4,K107&lt;&gt;"Completed",K107&lt;&gt;"Cancelled"),"Past event not completed",""))))))))</f>
        <v/>
      </c>
    </row>
    <row r="108">
      <c r="A108" s="16" t="n"/>
      <c r="B108" s="16" t="n"/>
      <c r="C108" s="16" t="n"/>
      <c r="D108" s="26" t="n"/>
      <c r="E108" s="26" t="n"/>
      <c r="F108" s="16" t="n"/>
      <c r="G108" s="16" t="n"/>
      <c r="H108" s="16" t="n"/>
      <c r="I108" s="16" t="n"/>
      <c r="J108" s="16" t="n"/>
      <c r="K108" s="16" t="n"/>
      <c r="L108" s="16" t="n"/>
      <c r="M108" s="18">
        <f>IF(OR(D108="",E108=""),"",IF(E108&lt;D108,"",E108-D108+1))</f>
        <v/>
      </c>
      <c r="N108" s="18">
        <f>IF(OR(B108="",C108="",D108="",E108=""),"",IF(COUNTIFS('Academic Terms'!$A$6:$A$101,B108,'Academic Terms'!$B$6:$B$101,C108)&lt;&gt;1,"Term not found",IF(OR(D108&lt;SUMIFS('Academic Terms'!$C$6:$C$101,'Academic Terms'!$A$6:$A$101,B108,'Academic Terms'!$B$6:$B$101,C108),E108&gt;SUMIFS('Academic Terms'!$D$6:$D$101,'Academic Terms'!$A$6:$A$101,B108,'Academic Terms'!$B$6:$B$101,C108)),"Yes","No")))</f>
        <v/>
      </c>
      <c r="O108" s="18">
        <f>IF(OR(A108="",B108="",D108="",E108="",J108="",K108="Cancelled"),"",IF(SUMPRODUCT(--($A$6:$A$205&lt;&gt;A108),--($B$6:$B$205=B108),--($J$6:$J$205=J108),--($D$6:$D$205&lt;=E108),--($E$6:$E$205&gt;=D108),--($K$6:$K$205&lt;&gt;"Cancelled"))&gt;0,"Yes","No"))</f>
        <v/>
      </c>
      <c r="P108" s="18">
        <f>IF(COUNTA(A108:L108)=0,"",IF(OR(A108="",B108="",C108="",D108="",E108="",F108="",G108="",K108=""),"Missing required fields",IF(COUNTIF($A$6:$A$205,A108)&gt;1,"Duplicate Event ID",IF(E108&lt;D108,"End date before start date",IF(N108="Term not found","Term not found",IF(N108="Yes","Outside term",IF(O108="Yes","Owner conflict",IF(AND(E108&lt;Dashboard!$B$4,K108&lt;&gt;"Completed",K108&lt;&gt;"Cancelled"),"Past event not completed",""))))))))</f>
        <v/>
      </c>
    </row>
    <row r="109">
      <c r="A109" s="16" t="n"/>
      <c r="B109" s="16" t="n"/>
      <c r="C109" s="16" t="n"/>
      <c r="D109" s="26" t="n"/>
      <c r="E109" s="26" t="n"/>
      <c r="F109" s="16" t="n"/>
      <c r="G109" s="16" t="n"/>
      <c r="H109" s="16" t="n"/>
      <c r="I109" s="16" t="n"/>
      <c r="J109" s="16" t="n"/>
      <c r="K109" s="16" t="n"/>
      <c r="L109" s="16" t="n"/>
      <c r="M109" s="18">
        <f>IF(OR(D109="",E109=""),"",IF(E109&lt;D109,"",E109-D109+1))</f>
        <v/>
      </c>
      <c r="N109" s="18">
        <f>IF(OR(B109="",C109="",D109="",E109=""),"",IF(COUNTIFS('Academic Terms'!$A$6:$A$101,B109,'Academic Terms'!$B$6:$B$101,C109)&lt;&gt;1,"Term not found",IF(OR(D109&lt;SUMIFS('Academic Terms'!$C$6:$C$101,'Academic Terms'!$A$6:$A$101,B109,'Academic Terms'!$B$6:$B$101,C109),E109&gt;SUMIFS('Academic Terms'!$D$6:$D$101,'Academic Terms'!$A$6:$A$101,B109,'Academic Terms'!$B$6:$B$101,C109)),"Yes","No")))</f>
        <v/>
      </c>
      <c r="O109" s="18">
        <f>IF(OR(A109="",B109="",D109="",E109="",J109="",K109="Cancelled"),"",IF(SUMPRODUCT(--($A$6:$A$205&lt;&gt;A109),--($B$6:$B$205=B109),--($J$6:$J$205=J109),--($D$6:$D$205&lt;=E109),--($E$6:$E$205&gt;=D109),--($K$6:$K$205&lt;&gt;"Cancelled"))&gt;0,"Yes","No"))</f>
        <v/>
      </c>
      <c r="P109" s="18">
        <f>IF(COUNTA(A109:L109)=0,"",IF(OR(A109="",B109="",C109="",D109="",E109="",F109="",G109="",K109=""),"Missing required fields",IF(COUNTIF($A$6:$A$205,A109)&gt;1,"Duplicate Event ID",IF(E109&lt;D109,"End date before start date",IF(N109="Term not found","Term not found",IF(N109="Yes","Outside term",IF(O109="Yes","Owner conflict",IF(AND(E109&lt;Dashboard!$B$4,K109&lt;&gt;"Completed",K109&lt;&gt;"Cancelled"),"Past event not completed",""))))))))</f>
        <v/>
      </c>
    </row>
    <row r="110">
      <c r="A110" s="16" t="n"/>
      <c r="B110" s="16" t="n"/>
      <c r="C110" s="16" t="n"/>
      <c r="D110" s="26" t="n"/>
      <c r="E110" s="26" t="n"/>
      <c r="F110" s="16" t="n"/>
      <c r="G110" s="16" t="n"/>
      <c r="H110" s="16" t="n"/>
      <c r="I110" s="16" t="n"/>
      <c r="J110" s="16" t="n"/>
      <c r="K110" s="16" t="n"/>
      <c r="L110" s="16" t="n"/>
      <c r="M110" s="18">
        <f>IF(OR(D110="",E110=""),"",IF(E110&lt;D110,"",E110-D110+1))</f>
        <v/>
      </c>
      <c r="N110" s="18">
        <f>IF(OR(B110="",C110="",D110="",E110=""),"",IF(COUNTIFS('Academic Terms'!$A$6:$A$101,B110,'Academic Terms'!$B$6:$B$101,C110)&lt;&gt;1,"Term not found",IF(OR(D110&lt;SUMIFS('Academic Terms'!$C$6:$C$101,'Academic Terms'!$A$6:$A$101,B110,'Academic Terms'!$B$6:$B$101,C110),E110&gt;SUMIFS('Academic Terms'!$D$6:$D$101,'Academic Terms'!$A$6:$A$101,B110,'Academic Terms'!$B$6:$B$101,C110)),"Yes","No")))</f>
        <v/>
      </c>
      <c r="O110" s="18">
        <f>IF(OR(A110="",B110="",D110="",E110="",J110="",K110="Cancelled"),"",IF(SUMPRODUCT(--($A$6:$A$205&lt;&gt;A110),--($B$6:$B$205=B110),--($J$6:$J$205=J110),--($D$6:$D$205&lt;=E110),--($E$6:$E$205&gt;=D110),--($K$6:$K$205&lt;&gt;"Cancelled"))&gt;0,"Yes","No"))</f>
        <v/>
      </c>
      <c r="P110" s="18">
        <f>IF(COUNTA(A110:L110)=0,"",IF(OR(A110="",B110="",C110="",D110="",E110="",F110="",G110="",K110=""),"Missing required fields",IF(COUNTIF($A$6:$A$205,A110)&gt;1,"Duplicate Event ID",IF(E110&lt;D110,"End date before start date",IF(N110="Term not found","Term not found",IF(N110="Yes","Outside term",IF(O110="Yes","Owner conflict",IF(AND(E110&lt;Dashboard!$B$4,K110&lt;&gt;"Completed",K110&lt;&gt;"Cancelled"),"Past event not completed",""))))))))</f>
        <v/>
      </c>
    </row>
    <row r="111">
      <c r="A111" s="16" t="n"/>
      <c r="B111" s="16" t="n"/>
      <c r="C111" s="16" t="n"/>
      <c r="D111" s="26" t="n"/>
      <c r="E111" s="26" t="n"/>
      <c r="F111" s="16" t="n"/>
      <c r="G111" s="16" t="n"/>
      <c r="H111" s="16" t="n"/>
      <c r="I111" s="16" t="n"/>
      <c r="J111" s="16" t="n"/>
      <c r="K111" s="16" t="n"/>
      <c r="L111" s="16" t="n"/>
      <c r="M111" s="18">
        <f>IF(OR(D111="",E111=""),"",IF(E111&lt;D111,"",E111-D111+1))</f>
        <v/>
      </c>
      <c r="N111" s="18">
        <f>IF(OR(B111="",C111="",D111="",E111=""),"",IF(COUNTIFS('Academic Terms'!$A$6:$A$101,B111,'Academic Terms'!$B$6:$B$101,C111)&lt;&gt;1,"Term not found",IF(OR(D111&lt;SUMIFS('Academic Terms'!$C$6:$C$101,'Academic Terms'!$A$6:$A$101,B111,'Academic Terms'!$B$6:$B$101,C111),E111&gt;SUMIFS('Academic Terms'!$D$6:$D$101,'Academic Terms'!$A$6:$A$101,B111,'Academic Terms'!$B$6:$B$101,C111)),"Yes","No")))</f>
        <v/>
      </c>
      <c r="O111" s="18">
        <f>IF(OR(A111="",B111="",D111="",E111="",J111="",K111="Cancelled"),"",IF(SUMPRODUCT(--($A$6:$A$205&lt;&gt;A111),--($B$6:$B$205=B111),--($J$6:$J$205=J111),--($D$6:$D$205&lt;=E111),--($E$6:$E$205&gt;=D111),--($K$6:$K$205&lt;&gt;"Cancelled"))&gt;0,"Yes","No"))</f>
        <v/>
      </c>
      <c r="P111" s="18">
        <f>IF(COUNTA(A111:L111)=0,"",IF(OR(A111="",B111="",C111="",D111="",E111="",F111="",G111="",K111=""),"Missing required fields",IF(COUNTIF($A$6:$A$205,A111)&gt;1,"Duplicate Event ID",IF(E111&lt;D111,"End date before start date",IF(N111="Term not found","Term not found",IF(N111="Yes","Outside term",IF(O111="Yes","Owner conflict",IF(AND(E111&lt;Dashboard!$B$4,K111&lt;&gt;"Completed",K111&lt;&gt;"Cancelled"),"Past event not completed",""))))))))</f>
        <v/>
      </c>
    </row>
    <row r="112">
      <c r="A112" s="16" t="n"/>
      <c r="B112" s="16" t="n"/>
      <c r="C112" s="16" t="n"/>
      <c r="D112" s="26" t="n"/>
      <c r="E112" s="26" t="n"/>
      <c r="F112" s="16" t="n"/>
      <c r="G112" s="16" t="n"/>
      <c r="H112" s="16" t="n"/>
      <c r="I112" s="16" t="n"/>
      <c r="J112" s="16" t="n"/>
      <c r="K112" s="16" t="n"/>
      <c r="L112" s="16" t="n"/>
      <c r="M112" s="18">
        <f>IF(OR(D112="",E112=""),"",IF(E112&lt;D112,"",E112-D112+1))</f>
        <v/>
      </c>
      <c r="N112" s="18">
        <f>IF(OR(B112="",C112="",D112="",E112=""),"",IF(COUNTIFS('Academic Terms'!$A$6:$A$101,B112,'Academic Terms'!$B$6:$B$101,C112)&lt;&gt;1,"Term not found",IF(OR(D112&lt;SUMIFS('Academic Terms'!$C$6:$C$101,'Academic Terms'!$A$6:$A$101,B112,'Academic Terms'!$B$6:$B$101,C112),E112&gt;SUMIFS('Academic Terms'!$D$6:$D$101,'Academic Terms'!$A$6:$A$101,B112,'Academic Terms'!$B$6:$B$101,C112)),"Yes","No")))</f>
        <v/>
      </c>
      <c r="O112" s="18">
        <f>IF(OR(A112="",B112="",D112="",E112="",J112="",K112="Cancelled"),"",IF(SUMPRODUCT(--($A$6:$A$205&lt;&gt;A112),--($B$6:$B$205=B112),--($J$6:$J$205=J112),--($D$6:$D$205&lt;=E112),--($E$6:$E$205&gt;=D112),--($K$6:$K$205&lt;&gt;"Cancelled"))&gt;0,"Yes","No"))</f>
        <v/>
      </c>
      <c r="P112" s="18">
        <f>IF(COUNTA(A112:L112)=0,"",IF(OR(A112="",B112="",C112="",D112="",E112="",F112="",G112="",K112=""),"Missing required fields",IF(COUNTIF($A$6:$A$205,A112)&gt;1,"Duplicate Event ID",IF(E112&lt;D112,"End date before start date",IF(N112="Term not found","Term not found",IF(N112="Yes","Outside term",IF(O112="Yes","Owner conflict",IF(AND(E112&lt;Dashboard!$B$4,K112&lt;&gt;"Completed",K112&lt;&gt;"Cancelled"),"Past event not completed",""))))))))</f>
        <v/>
      </c>
    </row>
    <row r="113">
      <c r="A113" s="16" t="n"/>
      <c r="B113" s="16" t="n"/>
      <c r="C113" s="16" t="n"/>
      <c r="D113" s="26" t="n"/>
      <c r="E113" s="26" t="n"/>
      <c r="F113" s="16" t="n"/>
      <c r="G113" s="16" t="n"/>
      <c r="H113" s="16" t="n"/>
      <c r="I113" s="16" t="n"/>
      <c r="J113" s="16" t="n"/>
      <c r="K113" s="16" t="n"/>
      <c r="L113" s="16" t="n"/>
      <c r="M113" s="18">
        <f>IF(OR(D113="",E113=""),"",IF(E113&lt;D113,"",E113-D113+1))</f>
        <v/>
      </c>
      <c r="N113" s="18">
        <f>IF(OR(B113="",C113="",D113="",E113=""),"",IF(COUNTIFS('Academic Terms'!$A$6:$A$101,B113,'Academic Terms'!$B$6:$B$101,C113)&lt;&gt;1,"Term not found",IF(OR(D113&lt;SUMIFS('Academic Terms'!$C$6:$C$101,'Academic Terms'!$A$6:$A$101,B113,'Academic Terms'!$B$6:$B$101,C113),E113&gt;SUMIFS('Academic Terms'!$D$6:$D$101,'Academic Terms'!$A$6:$A$101,B113,'Academic Terms'!$B$6:$B$101,C113)),"Yes","No")))</f>
        <v/>
      </c>
      <c r="O113" s="18">
        <f>IF(OR(A113="",B113="",D113="",E113="",J113="",K113="Cancelled"),"",IF(SUMPRODUCT(--($A$6:$A$205&lt;&gt;A113),--($B$6:$B$205=B113),--($J$6:$J$205=J113),--($D$6:$D$205&lt;=E113),--($E$6:$E$205&gt;=D113),--($K$6:$K$205&lt;&gt;"Cancelled"))&gt;0,"Yes","No"))</f>
        <v/>
      </c>
      <c r="P113" s="18">
        <f>IF(COUNTA(A113:L113)=0,"",IF(OR(A113="",B113="",C113="",D113="",E113="",F113="",G113="",K113=""),"Missing required fields",IF(COUNTIF($A$6:$A$205,A113)&gt;1,"Duplicate Event ID",IF(E113&lt;D113,"End date before start date",IF(N113="Term not found","Term not found",IF(N113="Yes","Outside term",IF(O113="Yes","Owner conflict",IF(AND(E113&lt;Dashboard!$B$4,K113&lt;&gt;"Completed",K113&lt;&gt;"Cancelled"),"Past event not completed",""))))))))</f>
        <v/>
      </c>
    </row>
    <row r="114">
      <c r="A114" s="16" t="n"/>
      <c r="B114" s="16" t="n"/>
      <c r="C114" s="16" t="n"/>
      <c r="D114" s="26" t="n"/>
      <c r="E114" s="26" t="n"/>
      <c r="F114" s="16" t="n"/>
      <c r="G114" s="16" t="n"/>
      <c r="H114" s="16" t="n"/>
      <c r="I114" s="16" t="n"/>
      <c r="J114" s="16" t="n"/>
      <c r="K114" s="16" t="n"/>
      <c r="L114" s="16" t="n"/>
      <c r="M114" s="18">
        <f>IF(OR(D114="",E114=""),"",IF(E114&lt;D114,"",E114-D114+1))</f>
        <v/>
      </c>
      <c r="N114" s="18">
        <f>IF(OR(B114="",C114="",D114="",E114=""),"",IF(COUNTIFS('Academic Terms'!$A$6:$A$101,B114,'Academic Terms'!$B$6:$B$101,C114)&lt;&gt;1,"Term not found",IF(OR(D114&lt;SUMIFS('Academic Terms'!$C$6:$C$101,'Academic Terms'!$A$6:$A$101,B114,'Academic Terms'!$B$6:$B$101,C114),E114&gt;SUMIFS('Academic Terms'!$D$6:$D$101,'Academic Terms'!$A$6:$A$101,B114,'Academic Terms'!$B$6:$B$101,C114)),"Yes","No")))</f>
        <v/>
      </c>
      <c r="O114" s="18">
        <f>IF(OR(A114="",B114="",D114="",E114="",J114="",K114="Cancelled"),"",IF(SUMPRODUCT(--($A$6:$A$205&lt;&gt;A114),--($B$6:$B$205=B114),--($J$6:$J$205=J114),--($D$6:$D$205&lt;=E114),--($E$6:$E$205&gt;=D114),--($K$6:$K$205&lt;&gt;"Cancelled"))&gt;0,"Yes","No"))</f>
        <v/>
      </c>
      <c r="P114" s="18">
        <f>IF(COUNTA(A114:L114)=0,"",IF(OR(A114="",B114="",C114="",D114="",E114="",F114="",G114="",K114=""),"Missing required fields",IF(COUNTIF($A$6:$A$205,A114)&gt;1,"Duplicate Event ID",IF(E114&lt;D114,"End date before start date",IF(N114="Term not found","Term not found",IF(N114="Yes","Outside term",IF(O114="Yes","Owner conflict",IF(AND(E114&lt;Dashboard!$B$4,K114&lt;&gt;"Completed",K114&lt;&gt;"Cancelled"),"Past event not completed",""))))))))</f>
        <v/>
      </c>
    </row>
    <row r="115">
      <c r="A115" s="16" t="n"/>
      <c r="B115" s="16" t="n"/>
      <c r="C115" s="16" t="n"/>
      <c r="D115" s="26" t="n"/>
      <c r="E115" s="26" t="n"/>
      <c r="F115" s="16" t="n"/>
      <c r="G115" s="16" t="n"/>
      <c r="H115" s="16" t="n"/>
      <c r="I115" s="16" t="n"/>
      <c r="J115" s="16" t="n"/>
      <c r="K115" s="16" t="n"/>
      <c r="L115" s="16" t="n"/>
      <c r="M115" s="18">
        <f>IF(OR(D115="",E115=""),"",IF(E115&lt;D115,"",E115-D115+1))</f>
        <v/>
      </c>
      <c r="N115" s="18">
        <f>IF(OR(B115="",C115="",D115="",E115=""),"",IF(COUNTIFS('Academic Terms'!$A$6:$A$101,B115,'Academic Terms'!$B$6:$B$101,C115)&lt;&gt;1,"Term not found",IF(OR(D115&lt;SUMIFS('Academic Terms'!$C$6:$C$101,'Academic Terms'!$A$6:$A$101,B115,'Academic Terms'!$B$6:$B$101,C115),E115&gt;SUMIFS('Academic Terms'!$D$6:$D$101,'Academic Terms'!$A$6:$A$101,B115,'Academic Terms'!$B$6:$B$101,C115)),"Yes","No")))</f>
        <v/>
      </c>
      <c r="O115" s="18">
        <f>IF(OR(A115="",B115="",D115="",E115="",J115="",K115="Cancelled"),"",IF(SUMPRODUCT(--($A$6:$A$205&lt;&gt;A115),--($B$6:$B$205=B115),--($J$6:$J$205=J115),--($D$6:$D$205&lt;=E115),--($E$6:$E$205&gt;=D115),--($K$6:$K$205&lt;&gt;"Cancelled"))&gt;0,"Yes","No"))</f>
        <v/>
      </c>
      <c r="P115" s="18">
        <f>IF(COUNTA(A115:L115)=0,"",IF(OR(A115="",B115="",C115="",D115="",E115="",F115="",G115="",K115=""),"Missing required fields",IF(COUNTIF($A$6:$A$205,A115)&gt;1,"Duplicate Event ID",IF(E115&lt;D115,"End date before start date",IF(N115="Term not found","Term not found",IF(N115="Yes","Outside term",IF(O115="Yes","Owner conflict",IF(AND(E115&lt;Dashboard!$B$4,K115&lt;&gt;"Completed",K115&lt;&gt;"Cancelled"),"Past event not completed",""))))))))</f>
        <v/>
      </c>
    </row>
    <row r="116">
      <c r="A116" s="16" t="n"/>
      <c r="B116" s="16" t="n"/>
      <c r="C116" s="16" t="n"/>
      <c r="D116" s="26" t="n"/>
      <c r="E116" s="26" t="n"/>
      <c r="F116" s="16" t="n"/>
      <c r="G116" s="16" t="n"/>
      <c r="H116" s="16" t="n"/>
      <c r="I116" s="16" t="n"/>
      <c r="J116" s="16" t="n"/>
      <c r="K116" s="16" t="n"/>
      <c r="L116" s="16" t="n"/>
      <c r="M116" s="18">
        <f>IF(OR(D116="",E116=""),"",IF(E116&lt;D116,"",E116-D116+1))</f>
        <v/>
      </c>
      <c r="N116" s="18">
        <f>IF(OR(B116="",C116="",D116="",E116=""),"",IF(COUNTIFS('Academic Terms'!$A$6:$A$101,B116,'Academic Terms'!$B$6:$B$101,C116)&lt;&gt;1,"Term not found",IF(OR(D116&lt;SUMIFS('Academic Terms'!$C$6:$C$101,'Academic Terms'!$A$6:$A$101,B116,'Academic Terms'!$B$6:$B$101,C116),E116&gt;SUMIFS('Academic Terms'!$D$6:$D$101,'Academic Terms'!$A$6:$A$101,B116,'Academic Terms'!$B$6:$B$101,C116)),"Yes","No")))</f>
        <v/>
      </c>
      <c r="O116" s="18">
        <f>IF(OR(A116="",B116="",D116="",E116="",J116="",K116="Cancelled"),"",IF(SUMPRODUCT(--($A$6:$A$205&lt;&gt;A116),--($B$6:$B$205=B116),--($J$6:$J$205=J116),--($D$6:$D$205&lt;=E116),--($E$6:$E$205&gt;=D116),--($K$6:$K$205&lt;&gt;"Cancelled"))&gt;0,"Yes","No"))</f>
        <v/>
      </c>
      <c r="P116" s="18">
        <f>IF(COUNTA(A116:L116)=0,"",IF(OR(A116="",B116="",C116="",D116="",E116="",F116="",G116="",K116=""),"Missing required fields",IF(COUNTIF($A$6:$A$205,A116)&gt;1,"Duplicate Event ID",IF(E116&lt;D116,"End date before start date",IF(N116="Term not found","Term not found",IF(N116="Yes","Outside term",IF(O116="Yes","Owner conflict",IF(AND(E116&lt;Dashboard!$B$4,K116&lt;&gt;"Completed",K116&lt;&gt;"Cancelled"),"Past event not completed",""))))))))</f>
        <v/>
      </c>
    </row>
    <row r="117">
      <c r="A117" s="16" t="n"/>
      <c r="B117" s="16" t="n"/>
      <c r="C117" s="16" t="n"/>
      <c r="D117" s="26" t="n"/>
      <c r="E117" s="26" t="n"/>
      <c r="F117" s="16" t="n"/>
      <c r="G117" s="16" t="n"/>
      <c r="H117" s="16" t="n"/>
      <c r="I117" s="16" t="n"/>
      <c r="J117" s="16" t="n"/>
      <c r="K117" s="16" t="n"/>
      <c r="L117" s="16" t="n"/>
      <c r="M117" s="18">
        <f>IF(OR(D117="",E117=""),"",IF(E117&lt;D117,"",E117-D117+1))</f>
        <v/>
      </c>
      <c r="N117" s="18">
        <f>IF(OR(B117="",C117="",D117="",E117=""),"",IF(COUNTIFS('Academic Terms'!$A$6:$A$101,B117,'Academic Terms'!$B$6:$B$101,C117)&lt;&gt;1,"Term not found",IF(OR(D117&lt;SUMIFS('Academic Terms'!$C$6:$C$101,'Academic Terms'!$A$6:$A$101,B117,'Academic Terms'!$B$6:$B$101,C117),E117&gt;SUMIFS('Academic Terms'!$D$6:$D$101,'Academic Terms'!$A$6:$A$101,B117,'Academic Terms'!$B$6:$B$101,C117)),"Yes","No")))</f>
        <v/>
      </c>
      <c r="O117" s="18">
        <f>IF(OR(A117="",B117="",D117="",E117="",J117="",K117="Cancelled"),"",IF(SUMPRODUCT(--($A$6:$A$205&lt;&gt;A117),--($B$6:$B$205=B117),--($J$6:$J$205=J117),--($D$6:$D$205&lt;=E117),--($E$6:$E$205&gt;=D117),--($K$6:$K$205&lt;&gt;"Cancelled"))&gt;0,"Yes","No"))</f>
        <v/>
      </c>
      <c r="P117" s="18">
        <f>IF(COUNTA(A117:L117)=0,"",IF(OR(A117="",B117="",C117="",D117="",E117="",F117="",G117="",K117=""),"Missing required fields",IF(COUNTIF($A$6:$A$205,A117)&gt;1,"Duplicate Event ID",IF(E117&lt;D117,"End date before start date",IF(N117="Term not found","Term not found",IF(N117="Yes","Outside term",IF(O117="Yes","Owner conflict",IF(AND(E117&lt;Dashboard!$B$4,K117&lt;&gt;"Completed",K117&lt;&gt;"Cancelled"),"Past event not completed",""))))))))</f>
        <v/>
      </c>
    </row>
    <row r="118">
      <c r="A118" s="16" t="n"/>
      <c r="B118" s="16" t="n"/>
      <c r="C118" s="16" t="n"/>
      <c r="D118" s="26" t="n"/>
      <c r="E118" s="26" t="n"/>
      <c r="F118" s="16" t="n"/>
      <c r="G118" s="16" t="n"/>
      <c r="H118" s="16" t="n"/>
      <c r="I118" s="16" t="n"/>
      <c r="J118" s="16" t="n"/>
      <c r="K118" s="16" t="n"/>
      <c r="L118" s="16" t="n"/>
      <c r="M118" s="18">
        <f>IF(OR(D118="",E118=""),"",IF(E118&lt;D118,"",E118-D118+1))</f>
        <v/>
      </c>
      <c r="N118" s="18">
        <f>IF(OR(B118="",C118="",D118="",E118=""),"",IF(COUNTIFS('Academic Terms'!$A$6:$A$101,B118,'Academic Terms'!$B$6:$B$101,C118)&lt;&gt;1,"Term not found",IF(OR(D118&lt;SUMIFS('Academic Terms'!$C$6:$C$101,'Academic Terms'!$A$6:$A$101,B118,'Academic Terms'!$B$6:$B$101,C118),E118&gt;SUMIFS('Academic Terms'!$D$6:$D$101,'Academic Terms'!$A$6:$A$101,B118,'Academic Terms'!$B$6:$B$101,C118)),"Yes","No")))</f>
        <v/>
      </c>
      <c r="O118" s="18">
        <f>IF(OR(A118="",B118="",D118="",E118="",J118="",K118="Cancelled"),"",IF(SUMPRODUCT(--($A$6:$A$205&lt;&gt;A118),--($B$6:$B$205=B118),--($J$6:$J$205=J118),--($D$6:$D$205&lt;=E118),--($E$6:$E$205&gt;=D118),--($K$6:$K$205&lt;&gt;"Cancelled"))&gt;0,"Yes","No"))</f>
        <v/>
      </c>
      <c r="P118" s="18">
        <f>IF(COUNTA(A118:L118)=0,"",IF(OR(A118="",B118="",C118="",D118="",E118="",F118="",G118="",K118=""),"Missing required fields",IF(COUNTIF($A$6:$A$205,A118)&gt;1,"Duplicate Event ID",IF(E118&lt;D118,"End date before start date",IF(N118="Term not found","Term not found",IF(N118="Yes","Outside term",IF(O118="Yes","Owner conflict",IF(AND(E118&lt;Dashboard!$B$4,K118&lt;&gt;"Completed",K118&lt;&gt;"Cancelled"),"Past event not completed",""))))))))</f>
        <v/>
      </c>
    </row>
    <row r="119">
      <c r="A119" s="16" t="n"/>
      <c r="B119" s="16" t="n"/>
      <c r="C119" s="16" t="n"/>
      <c r="D119" s="26" t="n"/>
      <c r="E119" s="26" t="n"/>
      <c r="F119" s="16" t="n"/>
      <c r="G119" s="16" t="n"/>
      <c r="H119" s="16" t="n"/>
      <c r="I119" s="16" t="n"/>
      <c r="J119" s="16" t="n"/>
      <c r="K119" s="16" t="n"/>
      <c r="L119" s="16" t="n"/>
      <c r="M119" s="18">
        <f>IF(OR(D119="",E119=""),"",IF(E119&lt;D119,"",E119-D119+1))</f>
        <v/>
      </c>
      <c r="N119" s="18">
        <f>IF(OR(B119="",C119="",D119="",E119=""),"",IF(COUNTIFS('Academic Terms'!$A$6:$A$101,B119,'Academic Terms'!$B$6:$B$101,C119)&lt;&gt;1,"Term not found",IF(OR(D119&lt;SUMIFS('Academic Terms'!$C$6:$C$101,'Academic Terms'!$A$6:$A$101,B119,'Academic Terms'!$B$6:$B$101,C119),E119&gt;SUMIFS('Academic Terms'!$D$6:$D$101,'Academic Terms'!$A$6:$A$101,B119,'Academic Terms'!$B$6:$B$101,C119)),"Yes","No")))</f>
        <v/>
      </c>
      <c r="O119" s="18">
        <f>IF(OR(A119="",B119="",D119="",E119="",J119="",K119="Cancelled"),"",IF(SUMPRODUCT(--($A$6:$A$205&lt;&gt;A119),--($B$6:$B$205=B119),--($J$6:$J$205=J119),--($D$6:$D$205&lt;=E119),--($E$6:$E$205&gt;=D119),--($K$6:$K$205&lt;&gt;"Cancelled"))&gt;0,"Yes","No"))</f>
        <v/>
      </c>
      <c r="P119" s="18">
        <f>IF(COUNTA(A119:L119)=0,"",IF(OR(A119="",B119="",C119="",D119="",E119="",F119="",G119="",K119=""),"Missing required fields",IF(COUNTIF($A$6:$A$205,A119)&gt;1,"Duplicate Event ID",IF(E119&lt;D119,"End date before start date",IF(N119="Term not found","Term not found",IF(N119="Yes","Outside term",IF(O119="Yes","Owner conflict",IF(AND(E119&lt;Dashboard!$B$4,K119&lt;&gt;"Completed",K119&lt;&gt;"Cancelled"),"Past event not completed",""))))))))</f>
        <v/>
      </c>
    </row>
    <row r="120">
      <c r="A120" s="16" t="n"/>
      <c r="B120" s="16" t="n"/>
      <c r="C120" s="16" t="n"/>
      <c r="D120" s="26" t="n"/>
      <c r="E120" s="26" t="n"/>
      <c r="F120" s="16" t="n"/>
      <c r="G120" s="16" t="n"/>
      <c r="H120" s="16" t="n"/>
      <c r="I120" s="16" t="n"/>
      <c r="J120" s="16" t="n"/>
      <c r="K120" s="16" t="n"/>
      <c r="L120" s="16" t="n"/>
      <c r="M120" s="18">
        <f>IF(OR(D120="",E120=""),"",IF(E120&lt;D120,"",E120-D120+1))</f>
        <v/>
      </c>
      <c r="N120" s="18">
        <f>IF(OR(B120="",C120="",D120="",E120=""),"",IF(COUNTIFS('Academic Terms'!$A$6:$A$101,B120,'Academic Terms'!$B$6:$B$101,C120)&lt;&gt;1,"Term not found",IF(OR(D120&lt;SUMIFS('Academic Terms'!$C$6:$C$101,'Academic Terms'!$A$6:$A$101,B120,'Academic Terms'!$B$6:$B$101,C120),E120&gt;SUMIFS('Academic Terms'!$D$6:$D$101,'Academic Terms'!$A$6:$A$101,B120,'Academic Terms'!$B$6:$B$101,C120)),"Yes","No")))</f>
        <v/>
      </c>
      <c r="O120" s="18">
        <f>IF(OR(A120="",B120="",D120="",E120="",J120="",K120="Cancelled"),"",IF(SUMPRODUCT(--($A$6:$A$205&lt;&gt;A120),--($B$6:$B$205=B120),--($J$6:$J$205=J120),--($D$6:$D$205&lt;=E120),--($E$6:$E$205&gt;=D120),--($K$6:$K$205&lt;&gt;"Cancelled"))&gt;0,"Yes","No"))</f>
        <v/>
      </c>
      <c r="P120" s="18">
        <f>IF(COUNTA(A120:L120)=0,"",IF(OR(A120="",B120="",C120="",D120="",E120="",F120="",G120="",K120=""),"Missing required fields",IF(COUNTIF($A$6:$A$205,A120)&gt;1,"Duplicate Event ID",IF(E120&lt;D120,"End date before start date",IF(N120="Term not found","Term not found",IF(N120="Yes","Outside term",IF(O120="Yes","Owner conflict",IF(AND(E120&lt;Dashboard!$B$4,K120&lt;&gt;"Completed",K120&lt;&gt;"Cancelled"),"Past event not completed",""))))))))</f>
        <v/>
      </c>
    </row>
    <row r="121">
      <c r="A121" s="16" t="n"/>
      <c r="B121" s="16" t="n"/>
      <c r="C121" s="16" t="n"/>
      <c r="D121" s="26" t="n"/>
      <c r="E121" s="26" t="n"/>
      <c r="F121" s="16" t="n"/>
      <c r="G121" s="16" t="n"/>
      <c r="H121" s="16" t="n"/>
      <c r="I121" s="16" t="n"/>
      <c r="J121" s="16" t="n"/>
      <c r="K121" s="16" t="n"/>
      <c r="L121" s="16" t="n"/>
      <c r="M121" s="18">
        <f>IF(OR(D121="",E121=""),"",IF(E121&lt;D121,"",E121-D121+1))</f>
        <v/>
      </c>
      <c r="N121" s="18">
        <f>IF(OR(B121="",C121="",D121="",E121=""),"",IF(COUNTIFS('Academic Terms'!$A$6:$A$101,B121,'Academic Terms'!$B$6:$B$101,C121)&lt;&gt;1,"Term not found",IF(OR(D121&lt;SUMIFS('Academic Terms'!$C$6:$C$101,'Academic Terms'!$A$6:$A$101,B121,'Academic Terms'!$B$6:$B$101,C121),E121&gt;SUMIFS('Academic Terms'!$D$6:$D$101,'Academic Terms'!$A$6:$A$101,B121,'Academic Terms'!$B$6:$B$101,C121)),"Yes","No")))</f>
        <v/>
      </c>
      <c r="O121" s="18">
        <f>IF(OR(A121="",B121="",D121="",E121="",J121="",K121="Cancelled"),"",IF(SUMPRODUCT(--($A$6:$A$205&lt;&gt;A121),--($B$6:$B$205=B121),--($J$6:$J$205=J121),--($D$6:$D$205&lt;=E121),--($E$6:$E$205&gt;=D121),--($K$6:$K$205&lt;&gt;"Cancelled"))&gt;0,"Yes","No"))</f>
        <v/>
      </c>
      <c r="P121" s="18">
        <f>IF(COUNTA(A121:L121)=0,"",IF(OR(A121="",B121="",C121="",D121="",E121="",F121="",G121="",K121=""),"Missing required fields",IF(COUNTIF($A$6:$A$205,A121)&gt;1,"Duplicate Event ID",IF(E121&lt;D121,"End date before start date",IF(N121="Term not found","Term not found",IF(N121="Yes","Outside term",IF(O121="Yes","Owner conflict",IF(AND(E121&lt;Dashboard!$B$4,K121&lt;&gt;"Completed",K121&lt;&gt;"Cancelled"),"Past event not completed",""))))))))</f>
        <v/>
      </c>
    </row>
    <row r="122">
      <c r="A122" s="16" t="n"/>
      <c r="B122" s="16" t="n"/>
      <c r="C122" s="16" t="n"/>
      <c r="D122" s="26" t="n"/>
      <c r="E122" s="26" t="n"/>
      <c r="F122" s="16" t="n"/>
      <c r="G122" s="16" t="n"/>
      <c r="H122" s="16" t="n"/>
      <c r="I122" s="16" t="n"/>
      <c r="J122" s="16" t="n"/>
      <c r="K122" s="16" t="n"/>
      <c r="L122" s="16" t="n"/>
      <c r="M122" s="18">
        <f>IF(OR(D122="",E122=""),"",IF(E122&lt;D122,"",E122-D122+1))</f>
        <v/>
      </c>
      <c r="N122" s="18">
        <f>IF(OR(B122="",C122="",D122="",E122=""),"",IF(COUNTIFS('Academic Terms'!$A$6:$A$101,B122,'Academic Terms'!$B$6:$B$101,C122)&lt;&gt;1,"Term not found",IF(OR(D122&lt;SUMIFS('Academic Terms'!$C$6:$C$101,'Academic Terms'!$A$6:$A$101,B122,'Academic Terms'!$B$6:$B$101,C122),E122&gt;SUMIFS('Academic Terms'!$D$6:$D$101,'Academic Terms'!$A$6:$A$101,B122,'Academic Terms'!$B$6:$B$101,C122)),"Yes","No")))</f>
        <v/>
      </c>
      <c r="O122" s="18">
        <f>IF(OR(A122="",B122="",D122="",E122="",J122="",K122="Cancelled"),"",IF(SUMPRODUCT(--($A$6:$A$205&lt;&gt;A122),--($B$6:$B$205=B122),--($J$6:$J$205=J122),--($D$6:$D$205&lt;=E122),--($E$6:$E$205&gt;=D122),--($K$6:$K$205&lt;&gt;"Cancelled"))&gt;0,"Yes","No"))</f>
        <v/>
      </c>
      <c r="P122" s="18">
        <f>IF(COUNTA(A122:L122)=0,"",IF(OR(A122="",B122="",C122="",D122="",E122="",F122="",G122="",K122=""),"Missing required fields",IF(COUNTIF($A$6:$A$205,A122)&gt;1,"Duplicate Event ID",IF(E122&lt;D122,"End date before start date",IF(N122="Term not found","Term not found",IF(N122="Yes","Outside term",IF(O122="Yes","Owner conflict",IF(AND(E122&lt;Dashboard!$B$4,K122&lt;&gt;"Completed",K122&lt;&gt;"Cancelled"),"Past event not completed",""))))))))</f>
        <v/>
      </c>
    </row>
    <row r="123">
      <c r="A123" s="16" t="n"/>
      <c r="B123" s="16" t="n"/>
      <c r="C123" s="16" t="n"/>
      <c r="D123" s="26" t="n"/>
      <c r="E123" s="26" t="n"/>
      <c r="F123" s="16" t="n"/>
      <c r="G123" s="16" t="n"/>
      <c r="H123" s="16" t="n"/>
      <c r="I123" s="16" t="n"/>
      <c r="J123" s="16" t="n"/>
      <c r="K123" s="16" t="n"/>
      <c r="L123" s="16" t="n"/>
      <c r="M123" s="18">
        <f>IF(OR(D123="",E123=""),"",IF(E123&lt;D123,"",E123-D123+1))</f>
        <v/>
      </c>
      <c r="N123" s="18">
        <f>IF(OR(B123="",C123="",D123="",E123=""),"",IF(COUNTIFS('Academic Terms'!$A$6:$A$101,B123,'Academic Terms'!$B$6:$B$101,C123)&lt;&gt;1,"Term not found",IF(OR(D123&lt;SUMIFS('Academic Terms'!$C$6:$C$101,'Academic Terms'!$A$6:$A$101,B123,'Academic Terms'!$B$6:$B$101,C123),E123&gt;SUMIFS('Academic Terms'!$D$6:$D$101,'Academic Terms'!$A$6:$A$101,B123,'Academic Terms'!$B$6:$B$101,C123)),"Yes","No")))</f>
        <v/>
      </c>
      <c r="O123" s="18">
        <f>IF(OR(A123="",B123="",D123="",E123="",J123="",K123="Cancelled"),"",IF(SUMPRODUCT(--($A$6:$A$205&lt;&gt;A123),--($B$6:$B$205=B123),--($J$6:$J$205=J123),--($D$6:$D$205&lt;=E123),--($E$6:$E$205&gt;=D123),--($K$6:$K$205&lt;&gt;"Cancelled"))&gt;0,"Yes","No"))</f>
        <v/>
      </c>
      <c r="P123" s="18">
        <f>IF(COUNTA(A123:L123)=0,"",IF(OR(A123="",B123="",C123="",D123="",E123="",F123="",G123="",K123=""),"Missing required fields",IF(COUNTIF($A$6:$A$205,A123)&gt;1,"Duplicate Event ID",IF(E123&lt;D123,"End date before start date",IF(N123="Term not found","Term not found",IF(N123="Yes","Outside term",IF(O123="Yes","Owner conflict",IF(AND(E123&lt;Dashboard!$B$4,K123&lt;&gt;"Completed",K123&lt;&gt;"Cancelled"),"Past event not completed",""))))))))</f>
        <v/>
      </c>
    </row>
    <row r="124">
      <c r="A124" s="16" t="n"/>
      <c r="B124" s="16" t="n"/>
      <c r="C124" s="16" t="n"/>
      <c r="D124" s="26" t="n"/>
      <c r="E124" s="26" t="n"/>
      <c r="F124" s="16" t="n"/>
      <c r="G124" s="16" t="n"/>
      <c r="H124" s="16" t="n"/>
      <c r="I124" s="16" t="n"/>
      <c r="J124" s="16" t="n"/>
      <c r="K124" s="16" t="n"/>
      <c r="L124" s="16" t="n"/>
      <c r="M124" s="18">
        <f>IF(OR(D124="",E124=""),"",IF(E124&lt;D124,"",E124-D124+1))</f>
        <v/>
      </c>
      <c r="N124" s="18">
        <f>IF(OR(B124="",C124="",D124="",E124=""),"",IF(COUNTIFS('Academic Terms'!$A$6:$A$101,B124,'Academic Terms'!$B$6:$B$101,C124)&lt;&gt;1,"Term not found",IF(OR(D124&lt;SUMIFS('Academic Terms'!$C$6:$C$101,'Academic Terms'!$A$6:$A$101,B124,'Academic Terms'!$B$6:$B$101,C124),E124&gt;SUMIFS('Academic Terms'!$D$6:$D$101,'Academic Terms'!$A$6:$A$101,B124,'Academic Terms'!$B$6:$B$101,C124)),"Yes","No")))</f>
        <v/>
      </c>
      <c r="O124" s="18">
        <f>IF(OR(A124="",B124="",D124="",E124="",J124="",K124="Cancelled"),"",IF(SUMPRODUCT(--($A$6:$A$205&lt;&gt;A124),--($B$6:$B$205=B124),--($J$6:$J$205=J124),--($D$6:$D$205&lt;=E124),--($E$6:$E$205&gt;=D124),--($K$6:$K$205&lt;&gt;"Cancelled"))&gt;0,"Yes","No"))</f>
        <v/>
      </c>
      <c r="P124" s="18">
        <f>IF(COUNTA(A124:L124)=0,"",IF(OR(A124="",B124="",C124="",D124="",E124="",F124="",G124="",K124=""),"Missing required fields",IF(COUNTIF($A$6:$A$205,A124)&gt;1,"Duplicate Event ID",IF(E124&lt;D124,"End date before start date",IF(N124="Term not found","Term not found",IF(N124="Yes","Outside term",IF(O124="Yes","Owner conflict",IF(AND(E124&lt;Dashboard!$B$4,K124&lt;&gt;"Completed",K124&lt;&gt;"Cancelled"),"Past event not completed",""))))))))</f>
        <v/>
      </c>
    </row>
    <row r="125">
      <c r="A125" s="16" t="n"/>
      <c r="B125" s="16" t="n"/>
      <c r="C125" s="16" t="n"/>
      <c r="D125" s="26" t="n"/>
      <c r="E125" s="26" t="n"/>
      <c r="F125" s="16" t="n"/>
      <c r="G125" s="16" t="n"/>
      <c r="H125" s="16" t="n"/>
      <c r="I125" s="16" t="n"/>
      <c r="J125" s="16" t="n"/>
      <c r="K125" s="16" t="n"/>
      <c r="L125" s="16" t="n"/>
      <c r="M125" s="18">
        <f>IF(OR(D125="",E125=""),"",IF(E125&lt;D125,"",E125-D125+1))</f>
        <v/>
      </c>
      <c r="N125" s="18">
        <f>IF(OR(B125="",C125="",D125="",E125=""),"",IF(COUNTIFS('Academic Terms'!$A$6:$A$101,B125,'Academic Terms'!$B$6:$B$101,C125)&lt;&gt;1,"Term not found",IF(OR(D125&lt;SUMIFS('Academic Terms'!$C$6:$C$101,'Academic Terms'!$A$6:$A$101,B125,'Academic Terms'!$B$6:$B$101,C125),E125&gt;SUMIFS('Academic Terms'!$D$6:$D$101,'Academic Terms'!$A$6:$A$101,B125,'Academic Terms'!$B$6:$B$101,C125)),"Yes","No")))</f>
        <v/>
      </c>
      <c r="O125" s="18">
        <f>IF(OR(A125="",B125="",D125="",E125="",J125="",K125="Cancelled"),"",IF(SUMPRODUCT(--($A$6:$A$205&lt;&gt;A125),--($B$6:$B$205=B125),--($J$6:$J$205=J125),--($D$6:$D$205&lt;=E125),--($E$6:$E$205&gt;=D125),--($K$6:$K$205&lt;&gt;"Cancelled"))&gt;0,"Yes","No"))</f>
        <v/>
      </c>
      <c r="P125" s="18">
        <f>IF(COUNTA(A125:L125)=0,"",IF(OR(A125="",B125="",C125="",D125="",E125="",F125="",G125="",K125=""),"Missing required fields",IF(COUNTIF($A$6:$A$205,A125)&gt;1,"Duplicate Event ID",IF(E125&lt;D125,"End date before start date",IF(N125="Term not found","Term not found",IF(N125="Yes","Outside term",IF(O125="Yes","Owner conflict",IF(AND(E125&lt;Dashboard!$B$4,K125&lt;&gt;"Completed",K125&lt;&gt;"Cancelled"),"Past event not completed",""))))))))</f>
        <v/>
      </c>
    </row>
    <row r="126">
      <c r="A126" s="16" t="n"/>
      <c r="B126" s="16" t="n"/>
      <c r="C126" s="16" t="n"/>
      <c r="D126" s="26" t="n"/>
      <c r="E126" s="26" t="n"/>
      <c r="F126" s="16" t="n"/>
      <c r="G126" s="16" t="n"/>
      <c r="H126" s="16" t="n"/>
      <c r="I126" s="16" t="n"/>
      <c r="J126" s="16" t="n"/>
      <c r="K126" s="16" t="n"/>
      <c r="L126" s="16" t="n"/>
      <c r="M126" s="18">
        <f>IF(OR(D126="",E126=""),"",IF(E126&lt;D126,"",E126-D126+1))</f>
        <v/>
      </c>
      <c r="N126" s="18">
        <f>IF(OR(B126="",C126="",D126="",E126=""),"",IF(COUNTIFS('Academic Terms'!$A$6:$A$101,B126,'Academic Terms'!$B$6:$B$101,C126)&lt;&gt;1,"Term not found",IF(OR(D126&lt;SUMIFS('Academic Terms'!$C$6:$C$101,'Academic Terms'!$A$6:$A$101,B126,'Academic Terms'!$B$6:$B$101,C126),E126&gt;SUMIFS('Academic Terms'!$D$6:$D$101,'Academic Terms'!$A$6:$A$101,B126,'Academic Terms'!$B$6:$B$101,C126)),"Yes","No")))</f>
        <v/>
      </c>
      <c r="O126" s="18">
        <f>IF(OR(A126="",B126="",D126="",E126="",J126="",K126="Cancelled"),"",IF(SUMPRODUCT(--($A$6:$A$205&lt;&gt;A126),--($B$6:$B$205=B126),--($J$6:$J$205=J126),--($D$6:$D$205&lt;=E126),--($E$6:$E$205&gt;=D126),--($K$6:$K$205&lt;&gt;"Cancelled"))&gt;0,"Yes","No"))</f>
        <v/>
      </c>
      <c r="P126" s="18">
        <f>IF(COUNTA(A126:L126)=0,"",IF(OR(A126="",B126="",C126="",D126="",E126="",F126="",G126="",K126=""),"Missing required fields",IF(COUNTIF($A$6:$A$205,A126)&gt;1,"Duplicate Event ID",IF(E126&lt;D126,"End date before start date",IF(N126="Term not found","Term not found",IF(N126="Yes","Outside term",IF(O126="Yes","Owner conflict",IF(AND(E126&lt;Dashboard!$B$4,K126&lt;&gt;"Completed",K126&lt;&gt;"Cancelled"),"Past event not completed",""))))))))</f>
        <v/>
      </c>
    </row>
    <row r="127">
      <c r="A127" s="16" t="n"/>
      <c r="B127" s="16" t="n"/>
      <c r="C127" s="16" t="n"/>
      <c r="D127" s="26" t="n"/>
      <c r="E127" s="26" t="n"/>
      <c r="F127" s="16" t="n"/>
      <c r="G127" s="16" t="n"/>
      <c r="H127" s="16" t="n"/>
      <c r="I127" s="16" t="n"/>
      <c r="J127" s="16" t="n"/>
      <c r="K127" s="16" t="n"/>
      <c r="L127" s="16" t="n"/>
      <c r="M127" s="18">
        <f>IF(OR(D127="",E127=""),"",IF(E127&lt;D127,"",E127-D127+1))</f>
        <v/>
      </c>
      <c r="N127" s="18">
        <f>IF(OR(B127="",C127="",D127="",E127=""),"",IF(COUNTIFS('Academic Terms'!$A$6:$A$101,B127,'Academic Terms'!$B$6:$B$101,C127)&lt;&gt;1,"Term not found",IF(OR(D127&lt;SUMIFS('Academic Terms'!$C$6:$C$101,'Academic Terms'!$A$6:$A$101,B127,'Academic Terms'!$B$6:$B$101,C127),E127&gt;SUMIFS('Academic Terms'!$D$6:$D$101,'Academic Terms'!$A$6:$A$101,B127,'Academic Terms'!$B$6:$B$101,C127)),"Yes","No")))</f>
        <v/>
      </c>
      <c r="O127" s="18">
        <f>IF(OR(A127="",B127="",D127="",E127="",J127="",K127="Cancelled"),"",IF(SUMPRODUCT(--($A$6:$A$205&lt;&gt;A127),--($B$6:$B$205=B127),--($J$6:$J$205=J127),--($D$6:$D$205&lt;=E127),--($E$6:$E$205&gt;=D127),--($K$6:$K$205&lt;&gt;"Cancelled"))&gt;0,"Yes","No"))</f>
        <v/>
      </c>
      <c r="P127" s="18">
        <f>IF(COUNTA(A127:L127)=0,"",IF(OR(A127="",B127="",C127="",D127="",E127="",F127="",G127="",K127=""),"Missing required fields",IF(COUNTIF($A$6:$A$205,A127)&gt;1,"Duplicate Event ID",IF(E127&lt;D127,"End date before start date",IF(N127="Term not found","Term not found",IF(N127="Yes","Outside term",IF(O127="Yes","Owner conflict",IF(AND(E127&lt;Dashboard!$B$4,K127&lt;&gt;"Completed",K127&lt;&gt;"Cancelled"),"Past event not completed",""))))))))</f>
        <v/>
      </c>
    </row>
    <row r="128">
      <c r="A128" s="16" t="n"/>
      <c r="B128" s="16" t="n"/>
      <c r="C128" s="16" t="n"/>
      <c r="D128" s="26" t="n"/>
      <c r="E128" s="26" t="n"/>
      <c r="F128" s="16" t="n"/>
      <c r="G128" s="16" t="n"/>
      <c r="H128" s="16" t="n"/>
      <c r="I128" s="16" t="n"/>
      <c r="J128" s="16" t="n"/>
      <c r="K128" s="16" t="n"/>
      <c r="L128" s="16" t="n"/>
      <c r="M128" s="18">
        <f>IF(OR(D128="",E128=""),"",IF(E128&lt;D128,"",E128-D128+1))</f>
        <v/>
      </c>
      <c r="N128" s="18">
        <f>IF(OR(B128="",C128="",D128="",E128=""),"",IF(COUNTIFS('Academic Terms'!$A$6:$A$101,B128,'Academic Terms'!$B$6:$B$101,C128)&lt;&gt;1,"Term not found",IF(OR(D128&lt;SUMIFS('Academic Terms'!$C$6:$C$101,'Academic Terms'!$A$6:$A$101,B128,'Academic Terms'!$B$6:$B$101,C128),E128&gt;SUMIFS('Academic Terms'!$D$6:$D$101,'Academic Terms'!$A$6:$A$101,B128,'Academic Terms'!$B$6:$B$101,C128)),"Yes","No")))</f>
        <v/>
      </c>
      <c r="O128" s="18">
        <f>IF(OR(A128="",B128="",D128="",E128="",J128="",K128="Cancelled"),"",IF(SUMPRODUCT(--($A$6:$A$205&lt;&gt;A128),--($B$6:$B$205=B128),--($J$6:$J$205=J128),--($D$6:$D$205&lt;=E128),--($E$6:$E$205&gt;=D128),--($K$6:$K$205&lt;&gt;"Cancelled"))&gt;0,"Yes","No"))</f>
        <v/>
      </c>
      <c r="P128" s="18">
        <f>IF(COUNTA(A128:L128)=0,"",IF(OR(A128="",B128="",C128="",D128="",E128="",F128="",G128="",K128=""),"Missing required fields",IF(COUNTIF($A$6:$A$205,A128)&gt;1,"Duplicate Event ID",IF(E128&lt;D128,"End date before start date",IF(N128="Term not found","Term not found",IF(N128="Yes","Outside term",IF(O128="Yes","Owner conflict",IF(AND(E128&lt;Dashboard!$B$4,K128&lt;&gt;"Completed",K128&lt;&gt;"Cancelled"),"Past event not completed",""))))))))</f>
        <v/>
      </c>
    </row>
    <row r="129">
      <c r="A129" s="16" t="n"/>
      <c r="B129" s="16" t="n"/>
      <c r="C129" s="16" t="n"/>
      <c r="D129" s="26" t="n"/>
      <c r="E129" s="26" t="n"/>
      <c r="F129" s="16" t="n"/>
      <c r="G129" s="16" t="n"/>
      <c r="H129" s="16" t="n"/>
      <c r="I129" s="16" t="n"/>
      <c r="J129" s="16" t="n"/>
      <c r="K129" s="16" t="n"/>
      <c r="L129" s="16" t="n"/>
      <c r="M129" s="18">
        <f>IF(OR(D129="",E129=""),"",IF(E129&lt;D129,"",E129-D129+1))</f>
        <v/>
      </c>
      <c r="N129" s="18">
        <f>IF(OR(B129="",C129="",D129="",E129=""),"",IF(COUNTIFS('Academic Terms'!$A$6:$A$101,B129,'Academic Terms'!$B$6:$B$101,C129)&lt;&gt;1,"Term not found",IF(OR(D129&lt;SUMIFS('Academic Terms'!$C$6:$C$101,'Academic Terms'!$A$6:$A$101,B129,'Academic Terms'!$B$6:$B$101,C129),E129&gt;SUMIFS('Academic Terms'!$D$6:$D$101,'Academic Terms'!$A$6:$A$101,B129,'Academic Terms'!$B$6:$B$101,C129)),"Yes","No")))</f>
        <v/>
      </c>
      <c r="O129" s="18">
        <f>IF(OR(A129="",B129="",D129="",E129="",J129="",K129="Cancelled"),"",IF(SUMPRODUCT(--($A$6:$A$205&lt;&gt;A129),--($B$6:$B$205=B129),--($J$6:$J$205=J129),--($D$6:$D$205&lt;=E129),--($E$6:$E$205&gt;=D129),--($K$6:$K$205&lt;&gt;"Cancelled"))&gt;0,"Yes","No"))</f>
        <v/>
      </c>
      <c r="P129" s="18">
        <f>IF(COUNTA(A129:L129)=0,"",IF(OR(A129="",B129="",C129="",D129="",E129="",F129="",G129="",K129=""),"Missing required fields",IF(COUNTIF($A$6:$A$205,A129)&gt;1,"Duplicate Event ID",IF(E129&lt;D129,"End date before start date",IF(N129="Term not found","Term not found",IF(N129="Yes","Outside term",IF(O129="Yes","Owner conflict",IF(AND(E129&lt;Dashboard!$B$4,K129&lt;&gt;"Completed",K129&lt;&gt;"Cancelled"),"Past event not completed",""))))))))</f>
        <v/>
      </c>
    </row>
    <row r="130">
      <c r="A130" s="16" t="n"/>
      <c r="B130" s="16" t="n"/>
      <c r="C130" s="16" t="n"/>
      <c r="D130" s="26" t="n"/>
      <c r="E130" s="26" t="n"/>
      <c r="F130" s="16" t="n"/>
      <c r="G130" s="16" t="n"/>
      <c r="H130" s="16" t="n"/>
      <c r="I130" s="16" t="n"/>
      <c r="J130" s="16" t="n"/>
      <c r="K130" s="16" t="n"/>
      <c r="L130" s="16" t="n"/>
      <c r="M130" s="18">
        <f>IF(OR(D130="",E130=""),"",IF(E130&lt;D130,"",E130-D130+1))</f>
        <v/>
      </c>
      <c r="N130" s="18">
        <f>IF(OR(B130="",C130="",D130="",E130=""),"",IF(COUNTIFS('Academic Terms'!$A$6:$A$101,B130,'Academic Terms'!$B$6:$B$101,C130)&lt;&gt;1,"Term not found",IF(OR(D130&lt;SUMIFS('Academic Terms'!$C$6:$C$101,'Academic Terms'!$A$6:$A$101,B130,'Academic Terms'!$B$6:$B$101,C130),E130&gt;SUMIFS('Academic Terms'!$D$6:$D$101,'Academic Terms'!$A$6:$A$101,B130,'Academic Terms'!$B$6:$B$101,C130)),"Yes","No")))</f>
        <v/>
      </c>
      <c r="O130" s="18">
        <f>IF(OR(A130="",B130="",D130="",E130="",J130="",K130="Cancelled"),"",IF(SUMPRODUCT(--($A$6:$A$205&lt;&gt;A130),--($B$6:$B$205=B130),--($J$6:$J$205=J130),--($D$6:$D$205&lt;=E130),--($E$6:$E$205&gt;=D130),--($K$6:$K$205&lt;&gt;"Cancelled"))&gt;0,"Yes","No"))</f>
        <v/>
      </c>
      <c r="P130" s="18">
        <f>IF(COUNTA(A130:L130)=0,"",IF(OR(A130="",B130="",C130="",D130="",E130="",F130="",G130="",K130=""),"Missing required fields",IF(COUNTIF($A$6:$A$205,A130)&gt;1,"Duplicate Event ID",IF(E130&lt;D130,"End date before start date",IF(N130="Term not found","Term not found",IF(N130="Yes","Outside term",IF(O130="Yes","Owner conflict",IF(AND(E130&lt;Dashboard!$B$4,K130&lt;&gt;"Completed",K130&lt;&gt;"Cancelled"),"Past event not completed",""))))))))</f>
        <v/>
      </c>
    </row>
    <row r="131">
      <c r="A131" s="16" t="n"/>
      <c r="B131" s="16" t="n"/>
      <c r="C131" s="16" t="n"/>
      <c r="D131" s="26" t="n"/>
      <c r="E131" s="26" t="n"/>
      <c r="F131" s="16" t="n"/>
      <c r="G131" s="16" t="n"/>
      <c r="H131" s="16" t="n"/>
      <c r="I131" s="16" t="n"/>
      <c r="J131" s="16" t="n"/>
      <c r="K131" s="16" t="n"/>
      <c r="L131" s="16" t="n"/>
      <c r="M131" s="18">
        <f>IF(OR(D131="",E131=""),"",IF(E131&lt;D131,"",E131-D131+1))</f>
        <v/>
      </c>
      <c r="N131" s="18">
        <f>IF(OR(B131="",C131="",D131="",E131=""),"",IF(COUNTIFS('Academic Terms'!$A$6:$A$101,B131,'Academic Terms'!$B$6:$B$101,C131)&lt;&gt;1,"Term not found",IF(OR(D131&lt;SUMIFS('Academic Terms'!$C$6:$C$101,'Academic Terms'!$A$6:$A$101,B131,'Academic Terms'!$B$6:$B$101,C131),E131&gt;SUMIFS('Academic Terms'!$D$6:$D$101,'Academic Terms'!$A$6:$A$101,B131,'Academic Terms'!$B$6:$B$101,C131)),"Yes","No")))</f>
        <v/>
      </c>
      <c r="O131" s="18">
        <f>IF(OR(A131="",B131="",D131="",E131="",J131="",K131="Cancelled"),"",IF(SUMPRODUCT(--($A$6:$A$205&lt;&gt;A131),--($B$6:$B$205=B131),--($J$6:$J$205=J131),--($D$6:$D$205&lt;=E131),--($E$6:$E$205&gt;=D131),--($K$6:$K$205&lt;&gt;"Cancelled"))&gt;0,"Yes","No"))</f>
        <v/>
      </c>
      <c r="P131" s="18">
        <f>IF(COUNTA(A131:L131)=0,"",IF(OR(A131="",B131="",C131="",D131="",E131="",F131="",G131="",K131=""),"Missing required fields",IF(COUNTIF($A$6:$A$205,A131)&gt;1,"Duplicate Event ID",IF(E131&lt;D131,"End date before start date",IF(N131="Term not found","Term not found",IF(N131="Yes","Outside term",IF(O131="Yes","Owner conflict",IF(AND(E131&lt;Dashboard!$B$4,K131&lt;&gt;"Completed",K131&lt;&gt;"Cancelled"),"Past event not completed",""))))))))</f>
        <v/>
      </c>
    </row>
    <row r="132">
      <c r="A132" s="16" t="n"/>
      <c r="B132" s="16" t="n"/>
      <c r="C132" s="16" t="n"/>
      <c r="D132" s="26" t="n"/>
      <c r="E132" s="26" t="n"/>
      <c r="F132" s="16" t="n"/>
      <c r="G132" s="16" t="n"/>
      <c r="H132" s="16" t="n"/>
      <c r="I132" s="16" t="n"/>
      <c r="J132" s="16" t="n"/>
      <c r="K132" s="16" t="n"/>
      <c r="L132" s="16" t="n"/>
      <c r="M132" s="18">
        <f>IF(OR(D132="",E132=""),"",IF(E132&lt;D132,"",E132-D132+1))</f>
        <v/>
      </c>
      <c r="N132" s="18">
        <f>IF(OR(B132="",C132="",D132="",E132=""),"",IF(COUNTIFS('Academic Terms'!$A$6:$A$101,B132,'Academic Terms'!$B$6:$B$101,C132)&lt;&gt;1,"Term not found",IF(OR(D132&lt;SUMIFS('Academic Terms'!$C$6:$C$101,'Academic Terms'!$A$6:$A$101,B132,'Academic Terms'!$B$6:$B$101,C132),E132&gt;SUMIFS('Academic Terms'!$D$6:$D$101,'Academic Terms'!$A$6:$A$101,B132,'Academic Terms'!$B$6:$B$101,C132)),"Yes","No")))</f>
        <v/>
      </c>
      <c r="O132" s="18">
        <f>IF(OR(A132="",B132="",D132="",E132="",J132="",K132="Cancelled"),"",IF(SUMPRODUCT(--($A$6:$A$205&lt;&gt;A132),--($B$6:$B$205=B132),--($J$6:$J$205=J132),--($D$6:$D$205&lt;=E132),--($E$6:$E$205&gt;=D132),--($K$6:$K$205&lt;&gt;"Cancelled"))&gt;0,"Yes","No"))</f>
        <v/>
      </c>
      <c r="P132" s="18">
        <f>IF(COUNTA(A132:L132)=0,"",IF(OR(A132="",B132="",C132="",D132="",E132="",F132="",G132="",K132=""),"Missing required fields",IF(COUNTIF($A$6:$A$205,A132)&gt;1,"Duplicate Event ID",IF(E132&lt;D132,"End date before start date",IF(N132="Term not found","Term not found",IF(N132="Yes","Outside term",IF(O132="Yes","Owner conflict",IF(AND(E132&lt;Dashboard!$B$4,K132&lt;&gt;"Completed",K132&lt;&gt;"Cancelled"),"Past event not completed",""))))))))</f>
        <v/>
      </c>
    </row>
    <row r="133">
      <c r="A133" s="16" t="n"/>
      <c r="B133" s="16" t="n"/>
      <c r="C133" s="16" t="n"/>
      <c r="D133" s="26" t="n"/>
      <c r="E133" s="26" t="n"/>
      <c r="F133" s="16" t="n"/>
      <c r="G133" s="16" t="n"/>
      <c r="H133" s="16" t="n"/>
      <c r="I133" s="16" t="n"/>
      <c r="J133" s="16" t="n"/>
      <c r="K133" s="16" t="n"/>
      <c r="L133" s="16" t="n"/>
      <c r="M133" s="18">
        <f>IF(OR(D133="",E133=""),"",IF(E133&lt;D133,"",E133-D133+1))</f>
        <v/>
      </c>
      <c r="N133" s="18">
        <f>IF(OR(B133="",C133="",D133="",E133=""),"",IF(COUNTIFS('Academic Terms'!$A$6:$A$101,B133,'Academic Terms'!$B$6:$B$101,C133)&lt;&gt;1,"Term not found",IF(OR(D133&lt;SUMIFS('Academic Terms'!$C$6:$C$101,'Academic Terms'!$A$6:$A$101,B133,'Academic Terms'!$B$6:$B$101,C133),E133&gt;SUMIFS('Academic Terms'!$D$6:$D$101,'Academic Terms'!$A$6:$A$101,B133,'Academic Terms'!$B$6:$B$101,C133)),"Yes","No")))</f>
        <v/>
      </c>
      <c r="O133" s="18">
        <f>IF(OR(A133="",B133="",D133="",E133="",J133="",K133="Cancelled"),"",IF(SUMPRODUCT(--($A$6:$A$205&lt;&gt;A133),--($B$6:$B$205=B133),--($J$6:$J$205=J133),--($D$6:$D$205&lt;=E133),--($E$6:$E$205&gt;=D133),--($K$6:$K$205&lt;&gt;"Cancelled"))&gt;0,"Yes","No"))</f>
        <v/>
      </c>
      <c r="P133" s="18">
        <f>IF(COUNTA(A133:L133)=0,"",IF(OR(A133="",B133="",C133="",D133="",E133="",F133="",G133="",K133=""),"Missing required fields",IF(COUNTIF($A$6:$A$205,A133)&gt;1,"Duplicate Event ID",IF(E133&lt;D133,"End date before start date",IF(N133="Term not found","Term not found",IF(N133="Yes","Outside term",IF(O133="Yes","Owner conflict",IF(AND(E133&lt;Dashboard!$B$4,K133&lt;&gt;"Completed",K133&lt;&gt;"Cancelled"),"Past event not completed",""))))))))</f>
        <v/>
      </c>
    </row>
    <row r="134">
      <c r="A134" s="16" t="n"/>
      <c r="B134" s="16" t="n"/>
      <c r="C134" s="16" t="n"/>
      <c r="D134" s="26" t="n"/>
      <c r="E134" s="26" t="n"/>
      <c r="F134" s="16" t="n"/>
      <c r="G134" s="16" t="n"/>
      <c r="H134" s="16" t="n"/>
      <c r="I134" s="16" t="n"/>
      <c r="J134" s="16" t="n"/>
      <c r="K134" s="16" t="n"/>
      <c r="L134" s="16" t="n"/>
      <c r="M134" s="18">
        <f>IF(OR(D134="",E134=""),"",IF(E134&lt;D134,"",E134-D134+1))</f>
        <v/>
      </c>
      <c r="N134" s="18">
        <f>IF(OR(B134="",C134="",D134="",E134=""),"",IF(COUNTIFS('Academic Terms'!$A$6:$A$101,B134,'Academic Terms'!$B$6:$B$101,C134)&lt;&gt;1,"Term not found",IF(OR(D134&lt;SUMIFS('Academic Terms'!$C$6:$C$101,'Academic Terms'!$A$6:$A$101,B134,'Academic Terms'!$B$6:$B$101,C134),E134&gt;SUMIFS('Academic Terms'!$D$6:$D$101,'Academic Terms'!$A$6:$A$101,B134,'Academic Terms'!$B$6:$B$101,C134)),"Yes","No")))</f>
        <v/>
      </c>
      <c r="O134" s="18">
        <f>IF(OR(A134="",B134="",D134="",E134="",J134="",K134="Cancelled"),"",IF(SUMPRODUCT(--($A$6:$A$205&lt;&gt;A134),--($B$6:$B$205=B134),--($J$6:$J$205=J134),--($D$6:$D$205&lt;=E134),--($E$6:$E$205&gt;=D134),--($K$6:$K$205&lt;&gt;"Cancelled"))&gt;0,"Yes","No"))</f>
        <v/>
      </c>
      <c r="P134" s="18">
        <f>IF(COUNTA(A134:L134)=0,"",IF(OR(A134="",B134="",C134="",D134="",E134="",F134="",G134="",K134=""),"Missing required fields",IF(COUNTIF($A$6:$A$205,A134)&gt;1,"Duplicate Event ID",IF(E134&lt;D134,"End date before start date",IF(N134="Term not found","Term not found",IF(N134="Yes","Outside term",IF(O134="Yes","Owner conflict",IF(AND(E134&lt;Dashboard!$B$4,K134&lt;&gt;"Completed",K134&lt;&gt;"Cancelled"),"Past event not completed",""))))))))</f>
        <v/>
      </c>
    </row>
    <row r="135">
      <c r="A135" s="16" t="n"/>
      <c r="B135" s="16" t="n"/>
      <c r="C135" s="16" t="n"/>
      <c r="D135" s="26" t="n"/>
      <c r="E135" s="26" t="n"/>
      <c r="F135" s="16" t="n"/>
      <c r="G135" s="16" t="n"/>
      <c r="H135" s="16" t="n"/>
      <c r="I135" s="16" t="n"/>
      <c r="J135" s="16" t="n"/>
      <c r="K135" s="16" t="n"/>
      <c r="L135" s="16" t="n"/>
      <c r="M135" s="18">
        <f>IF(OR(D135="",E135=""),"",IF(E135&lt;D135,"",E135-D135+1))</f>
        <v/>
      </c>
      <c r="N135" s="18">
        <f>IF(OR(B135="",C135="",D135="",E135=""),"",IF(COUNTIFS('Academic Terms'!$A$6:$A$101,B135,'Academic Terms'!$B$6:$B$101,C135)&lt;&gt;1,"Term not found",IF(OR(D135&lt;SUMIFS('Academic Terms'!$C$6:$C$101,'Academic Terms'!$A$6:$A$101,B135,'Academic Terms'!$B$6:$B$101,C135),E135&gt;SUMIFS('Academic Terms'!$D$6:$D$101,'Academic Terms'!$A$6:$A$101,B135,'Academic Terms'!$B$6:$B$101,C135)),"Yes","No")))</f>
        <v/>
      </c>
      <c r="O135" s="18">
        <f>IF(OR(A135="",B135="",D135="",E135="",J135="",K135="Cancelled"),"",IF(SUMPRODUCT(--($A$6:$A$205&lt;&gt;A135),--($B$6:$B$205=B135),--($J$6:$J$205=J135),--($D$6:$D$205&lt;=E135),--($E$6:$E$205&gt;=D135),--($K$6:$K$205&lt;&gt;"Cancelled"))&gt;0,"Yes","No"))</f>
        <v/>
      </c>
      <c r="P135" s="18">
        <f>IF(COUNTA(A135:L135)=0,"",IF(OR(A135="",B135="",C135="",D135="",E135="",F135="",G135="",K135=""),"Missing required fields",IF(COUNTIF($A$6:$A$205,A135)&gt;1,"Duplicate Event ID",IF(E135&lt;D135,"End date before start date",IF(N135="Term not found","Term not found",IF(N135="Yes","Outside term",IF(O135="Yes","Owner conflict",IF(AND(E135&lt;Dashboard!$B$4,K135&lt;&gt;"Completed",K135&lt;&gt;"Cancelled"),"Past event not completed",""))))))))</f>
        <v/>
      </c>
    </row>
    <row r="136">
      <c r="A136" s="16" t="n"/>
      <c r="B136" s="16" t="n"/>
      <c r="C136" s="16" t="n"/>
      <c r="D136" s="26" t="n"/>
      <c r="E136" s="26" t="n"/>
      <c r="F136" s="16" t="n"/>
      <c r="G136" s="16" t="n"/>
      <c r="H136" s="16" t="n"/>
      <c r="I136" s="16" t="n"/>
      <c r="J136" s="16" t="n"/>
      <c r="K136" s="16" t="n"/>
      <c r="L136" s="16" t="n"/>
      <c r="M136" s="18">
        <f>IF(OR(D136="",E136=""),"",IF(E136&lt;D136,"",E136-D136+1))</f>
        <v/>
      </c>
      <c r="N136" s="18">
        <f>IF(OR(B136="",C136="",D136="",E136=""),"",IF(COUNTIFS('Academic Terms'!$A$6:$A$101,B136,'Academic Terms'!$B$6:$B$101,C136)&lt;&gt;1,"Term not found",IF(OR(D136&lt;SUMIFS('Academic Terms'!$C$6:$C$101,'Academic Terms'!$A$6:$A$101,B136,'Academic Terms'!$B$6:$B$101,C136),E136&gt;SUMIFS('Academic Terms'!$D$6:$D$101,'Academic Terms'!$A$6:$A$101,B136,'Academic Terms'!$B$6:$B$101,C136)),"Yes","No")))</f>
        <v/>
      </c>
      <c r="O136" s="18">
        <f>IF(OR(A136="",B136="",D136="",E136="",J136="",K136="Cancelled"),"",IF(SUMPRODUCT(--($A$6:$A$205&lt;&gt;A136),--($B$6:$B$205=B136),--($J$6:$J$205=J136),--($D$6:$D$205&lt;=E136),--($E$6:$E$205&gt;=D136),--($K$6:$K$205&lt;&gt;"Cancelled"))&gt;0,"Yes","No"))</f>
        <v/>
      </c>
      <c r="P136" s="18">
        <f>IF(COUNTA(A136:L136)=0,"",IF(OR(A136="",B136="",C136="",D136="",E136="",F136="",G136="",K136=""),"Missing required fields",IF(COUNTIF($A$6:$A$205,A136)&gt;1,"Duplicate Event ID",IF(E136&lt;D136,"End date before start date",IF(N136="Term not found","Term not found",IF(N136="Yes","Outside term",IF(O136="Yes","Owner conflict",IF(AND(E136&lt;Dashboard!$B$4,K136&lt;&gt;"Completed",K136&lt;&gt;"Cancelled"),"Past event not completed",""))))))))</f>
        <v/>
      </c>
    </row>
    <row r="137">
      <c r="A137" s="16" t="n"/>
      <c r="B137" s="16" t="n"/>
      <c r="C137" s="16" t="n"/>
      <c r="D137" s="26" t="n"/>
      <c r="E137" s="26" t="n"/>
      <c r="F137" s="16" t="n"/>
      <c r="G137" s="16" t="n"/>
      <c r="H137" s="16" t="n"/>
      <c r="I137" s="16" t="n"/>
      <c r="J137" s="16" t="n"/>
      <c r="K137" s="16" t="n"/>
      <c r="L137" s="16" t="n"/>
      <c r="M137" s="18">
        <f>IF(OR(D137="",E137=""),"",IF(E137&lt;D137,"",E137-D137+1))</f>
        <v/>
      </c>
      <c r="N137" s="18">
        <f>IF(OR(B137="",C137="",D137="",E137=""),"",IF(COUNTIFS('Academic Terms'!$A$6:$A$101,B137,'Academic Terms'!$B$6:$B$101,C137)&lt;&gt;1,"Term not found",IF(OR(D137&lt;SUMIFS('Academic Terms'!$C$6:$C$101,'Academic Terms'!$A$6:$A$101,B137,'Academic Terms'!$B$6:$B$101,C137),E137&gt;SUMIFS('Academic Terms'!$D$6:$D$101,'Academic Terms'!$A$6:$A$101,B137,'Academic Terms'!$B$6:$B$101,C137)),"Yes","No")))</f>
        <v/>
      </c>
      <c r="O137" s="18">
        <f>IF(OR(A137="",B137="",D137="",E137="",J137="",K137="Cancelled"),"",IF(SUMPRODUCT(--($A$6:$A$205&lt;&gt;A137),--($B$6:$B$205=B137),--($J$6:$J$205=J137),--($D$6:$D$205&lt;=E137),--($E$6:$E$205&gt;=D137),--($K$6:$K$205&lt;&gt;"Cancelled"))&gt;0,"Yes","No"))</f>
        <v/>
      </c>
      <c r="P137" s="18">
        <f>IF(COUNTA(A137:L137)=0,"",IF(OR(A137="",B137="",C137="",D137="",E137="",F137="",G137="",K137=""),"Missing required fields",IF(COUNTIF($A$6:$A$205,A137)&gt;1,"Duplicate Event ID",IF(E137&lt;D137,"End date before start date",IF(N137="Term not found","Term not found",IF(N137="Yes","Outside term",IF(O137="Yes","Owner conflict",IF(AND(E137&lt;Dashboard!$B$4,K137&lt;&gt;"Completed",K137&lt;&gt;"Cancelled"),"Past event not completed",""))))))))</f>
        <v/>
      </c>
    </row>
    <row r="138">
      <c r="A138" s="16" t="n"/>
      <c r="B138" s="16" t="n"/>
      <c r="C138" s="16" t="n"/>
      <c r="D138" s="26" t="n"/>
      <c r="E138" s="26" t="n"/>
      <c r="F138" s="16" t="n"/>
      <c r="G138" s="16" t="n"/>
      <c r="H138" s="16" t="n"/>
      <c r="I138" s="16" t="n"/>
      <c r="J138" s="16" t="n"/>
      <c r="K138" s="16" t="n"/>
      <c r="L138" s="16" t="n"/>
      <c r="M138" s="18">
        <f>IF(OR(D138="",E138=""),"",IF(E138&lt;D138,"",E138-D138+1))</f>
        <v/>
      </c>
      <c r="N138" s="18">
        <f>IF(OR(B138="",C138="",D138="",E138=""),"",IF(COUNTIFS('Academic Terms'!$A$6:$A$101,B138,'Academic Terms'!$B$6:$B$101,C138)&lt;&gt;1,"Term not found",IF(OR(D138&lt;SUMIFS('Academic Terms'!$C$6:$C$101,'Academic Terms'!$A$6:$A$101,B138,'Academic Terms'!$B$6:$B$101,C138),E138&gt;SUMIFS('Academic Terms'!$D$6:$D$101,'Academic Terms'!$A$6:$A$101,B138,'Academic Terms'!$B$6:$B$101,C138)),"Yes","No")))</f>
        <v/>
      </c>
      <c r="O138" s="18">
        <f>IF(OR(A138="",B138="",D138="",E138="",J138="",K138="Cancelled"),"",IF(SUMPRODUCT(--($A$6:$A$205&lt;&gt;A138),--($B$6:$B$205=B138),--($J$6:$J$205=J138),--($D$6:$D$205&lt;=E138),--($E$6:$E$205&gt;=D138),--($K$6:$K$205&lt;&gt;"Cancelled"))&gt;0,"Yes","No"))</f>
        <v/>
      </c>
      <c r="P138" s="18">
        <f>IF(COUNTA(A138:L138)=0,"",IF(OR(A138="",B138="",C138="",D138="",E138="",F138="",G138="",K138=""),"Missing required fields",IF(COUNTIF($A$6:$A$205,A138)&gt;1,"Duplicate Event ID",IF(E138&lt;D138,"End date before start date",IF(N138="Term not found","Term not found",IF(N138="Yes","Outside term",IF(O138="Yes","Owner conflict",IF(AND(E138&lt;Dashboard!$B$4,K138&lt;&gt;"Completed",K138&lt;&gt;"Cancelled"),"Past event not completed",""))))))))</f>
        <v/>
      </c>
    </row>
    <row r="139">
      <c r="A139" s="16" t="n"/>
      <c r="B139" s="16" t="n"/>
      <c r="C139" s="16" t="n"/>
      <c r="D139" s="26" t="n"/>
      <c r="E139" s="26" t="n"/>
      <c r="F139" s="16" t="n"/>
      <c r="G139" s="16" t="n"/>
      <c r="H139" s="16" t="n"/>
      <c r="I139" s="16" t="n"/>
      <c r="J139" s="16" t="n"/>
      <c r="K139" s="16" t="n"/>
      <c r="L139" s="16" t="n"/>
      <c r="M139" s="18">
        <f>IF(OR(D139="",E139=""),"",IF(E139&lt;D139,"",E139-D139+1))</f>
        <v/>
      </c>
      <c r="N139" s="18">
        <f>IF(OR(B139="",C139="",D139="",E139=""),"",IF(COUNTIFS('Academic Terms'!$A$6:$A$101,B139,'Academic Terms'!$B$6:$B$101,C139)&lt;&gt;1,"Term not found",IF(OR(D139&lt;SUMIFS('Academic Terms'!$C$6:$C$101,'Academic Terms'!$A$6:$A$101,B139,'Academic Terms'!$B$6:$B$101,C139),E139&gt;SUMIFS('Academic Terms'!$D$6:$D$101,'Academic Terms'!$A$6:$A$101,B139,'Academic Terms'!$B$6:$B$101,C139)),"Yes","No")))</f>
        <v/>
      </c>
      <c r="O139" s="18">
        <f>IF(OR(A139="",B139="",D139="",E139="",J139="",K139="Cancelled"),"",IF(SUMPRODUCT(--($A$6:$A$205&lt;&gt;A139),--($B$6:$B$205=B139),--($J$6:$J$205=J139),--($D$6:$D$205&lt;=E139),--($E$6:$E$205&gt;=D139),--($K$6:$K$205&lt;&gt;"Cancelled"))&gt;0,"Yes","No"))</f>
        <v/>
      </c>
      <c r="P139" s="18">
        <f>IF(COUNTA(A139:L139)=0,"",IF(OR(A139="",B139="",C139="",D139="",E139="",F139="",G139="",K139=""),"Missing required fields",IF(COUNTIF($A$6:$A$205,A139)&gt;1,"Duplicate Event ID",IF(E139&lt;D139,"End date before start date",IF(N139="Term not found","Term not found",IF(N139="Yes","Outside term",IF(O139="Yes","Owner conflict",IF(AND(E139&lt;Dashboard!$B$4,K139&lt;&gt;"Completed",K139&lt;&gt;"Cancelled"),"Past event not completed",""))))))))</f>
        <v/>
      </c>
    </row>
    <row r="140">
      <c r="A140" s="16" t="n"/>
      <c r="B140" s="16" t="n"/>
      <c r="C140" s="16" t="n"/>
      <c r="D140" s="26" t="n"/>
      <c r="E140" s="26" t="n"/>
      <c r="F140" s="16" t="n"/>
      <c r="G140" s="16" t="n"/>
      <c r="H140" s="16" t="n"/>
      <c r="I140" s="16" t="n"/>
      <c r="J140" s="16" t="n"/>
      <c r="K140" s="16" t="n"/>
      <c r="L140" s="16" t="n"/>
      <c r="M140" s="18">
        <f>IF(OR(D140="",E140=""),"",IF(E140&lt;D140,"",E140-D140+1))</f>
        <v/>
      </c>
      <c r="N140" s="18">
        <f>IF(OR(B140="",C140="",D140="",E140=""),"",IF(COUNTIFS('Academic Terms'!$A$6:$A$101,B140,'Academic Terms'!$B$6:$B$101,C140)&lt;&gt;1,"Term not found",IF(OR(D140&lt;SUMIFS('Academic Terms'!$C$6:$C$101,'Academic Terms'!$A$6:$A$101,B140,'Academic Terms'!$B$6:$B$101,C140),E140&gt;SUMIFS('Academic Terms'!$D$6:$D$101,'Academic Terms'!$A$6:$A$101,B140,'Academic Terms'!$B$6:$B$101,C140)),"Yes","No")))</f>
        <v/>
      </c>
      <c r="O140" s="18">
        <f>IF(OR(A140="",B140="",D140="",E140="",J140="",K140="Cancelled"),"",IF(SUMPRODUCT(--($A$6:$A$205&lt;&gt;A140),--($B$6:$B$205=B140),--($J$6:$J$205=J140),--($D$6:$D$205&lt;=E140),--($E$6:$E$205&gt;=D140),--($K$6:$K$205&lt;&gt;"Cancelled"))&gt;0,"Yes","No"))</f>
        <v/>
      </c>
      <c r="P140" s="18">
        <f>IF(COUNTA(A140:L140)=0,"",IF(OR(A140="",B140="",C140="",D140="",E140="",F140="",G140="",K140=""),"Missing required fields",IF(COUNTIF($A$6:$A$205,A140)&gt;1,"Duplicate Event ID",IF(E140&lt;D140,"End date before start date",IF(N140="Term not found","Term not found",IF(N140="Yes","Outside term",IF(O140="Yes","Owner conflict",IF(AND(E140&lt;Dashboard!$B$4,K140&lt;&gt;"Completed",K140&lt;&gt;"Cancelled"),"Past event not completed",""))))))))</f>
        <v/>
      </c>
    </row>
    <row r="141">
      <c r="A141" s="16" t="n"/>
      <c r="B141" s="16" t="n"/>
      <c r="C141" s="16" t="n"/>
      <c r="D141" s="26" t="n"/>
      <c r="E141" s="26" t="n"/>
      <c r="F141" s="16" t="n"/>
      <c r="G141" s="16" t="n"/>
      <c r="H141" s="16" t="n"/>
      <c r="I141" s="16" t="n"/>
      <c r="J141" s="16" t="n"/>
      <c r="K141" s="16" t="n"/>
      <c r="L141" s="16" t="n"/>
      <c r="M141" s="18">
        <f>IF(OR(D141="",E141=""),"",IF(E141&lt;D141,"",E141-D141+1))</f>
        <v/>
      </c>
      <c r="N141" s="18">
        <f>IF(OR(B141="",C141="",D141="",E141=""),"",IF(COUNTIFS('Academic Terms'!$A$6:$A$101,B141,'Academic Terms'!$B$6:$B$101,C141)&lt;&gt;1,"Term not found",IF(OR(D141&lt;SUMIFS('Academic Terms'!$C$6:$C$101,'Academic Terms'!$A$6:$A$101,B141,'Academic Terms'!$B$6:$B$101,C141),E141&gt;SUMIFS('Academic Terms'!$D$6:$D$101,'Academic Terms'!$A$6:$A$101,B141,'Academic Terms'!$B$6:$B$101,C141)),"Yes","No")))</f>
        <v/>
      </c>
      <c r="O141" s="18">
        <f>IF(OR(A141="",B141="",D141="",E141="",J141="",K141="Cancelled"),"",IF(SUMPRODUCT(--($A$6:$A$205&lt;&gt;A141),--($B$6:$B$205=B141),--($J$6:$J$205=J141),--($D$6:$D$205&lt;=E141),--($E$6:$E$205&gt;=D141),--($K$6:$K$205&lt;&gt;"Cancelled"))&gt;0,"Yes","No"))</f>
        <v/>
      </c>
      <c r="P141" s="18">
        <f>IF(COUNTA(A141:L141)=0,"",IF(OR(A141="",B141="",C141="",D141="",E141="",F141="",G141="",K141=""),"Missing required fields",IF(COUNTIF($A$6:$A$205,A141)&gt;1,"Duplicate Event ID",IF(E141&lt;D141,"End date before start date",IF(N141="Term not found","Term not found",IF(N141="Yes","Outside term",IF(O141="Yes","Owner conflict",IF(AND(E141&lt;Dashboard!$B$4,K141&lt;&gt;"Completed",K141&lt;&gt;"Cancelled"),"Past event not completed",""))))))))</f>
        <v/>
      </c>
    </row>
    <row r="142">
      <c r="A142" s="16" t="n"/>
      <c r="B142" s="16" t="n"/>
      <c r="C142" s="16" t="n"/>
      <c r="D142" s="26" t="n"/>
      <c r="E142" s="26" t="n"/>
      <c r="F142" s="16" t="n"/>
      <c r="G142" s="16" t="n"/>
      <c r="H142" s="16" t="n"/>
      <c r="I142" s="16" t="n"/>
      <c r="J142" s="16" t="n"/>
      <c r="K142" s="16" t="n"/>
      <c r="L142" s="16" t="n"/>
      <c r="M142" s="18">
        <f>IF(OR(D142="",E142=""),"",IF(E142&lt;D142,"",E142-D142+1))</f>
        <v/>
      </c>
      <c r="N142" s="18">
        <f>IF(OR(B142="",C142="",D142="",E142=""),"",IF(COUNTIFS('Academic Terms'!$A$6:$A$101,B142,'Academic Terms'!$B$6:$B$101,C142)&lt;&gt;1,"Term not found",IF(OR(D142&lt;SUMIFS('Academic Terms'!$C$6:$C$101,'Academic Terms'!$A$6:$A$101,B142,'Academic Terms'!$B$6:$B$101,C142),E142&gt;SUMIFS('Academic Terms'!$D$6:$D$101,'Academic Terms'!$A$6:$A$101,B142,'Academic Terms'!$B$6:$B$101,C142)),"Yes","No")))</f>
        <v/>
      </c>
      <c r="O142" s="18">
        <f>IF(OR(A142="",B142="",D142="",E142="",J142="",K142="Cancelled"),"",IF(SUMPRODUCT(--($A$6:$A$205&lt;&gt;A142),--($B$6:$B$205=B142),--($J$6:$J$205=J142),--($D$6:$D$205&lt;=E142),--($E$6:$E$205&gt;=D142),--($K$6:$K$205&lt;&gt;"Cancelled"))&gt;0,"Yes","No"))</f>
        <v/>
      </c>
      <c r="P142" s="18">
        <f>IF(COUNTA(A142:L142)=0,"",IF(OR(A142="",B142="",C142="",D142="",E142="",F142="",G142="",K142=""),"Missing required fields",IF(COUNTIF($A$6:$A$205,A142)&gt;1,"Duplicate Event ID",IF(E142&lt;D142,"End date before start date",IF(N142="Term not found","Term not found",IF(N142="Yes","Outside term",IF(O142="Yes","Owner conflict",IF(AND(E142&lt;Dashboard!$B$4,K142&lt;&gt;"Completed",K142&lt;&gt;"Cancelled"),"Past event not completed",""))))))))</f>
        <v/>
      </c>
    </row>
    <row r="143">
      <c r="A143" s="16" t="n"/>
      <c r="B143" s="16" t="n"/>
      <c r="C143" s="16" t="n"/>
      <c r="D143" s="26" t="n"/>
      <c r="E143" s="26" t="n"/>
      <c r="F143" s="16" t="n"/>
      <c r="G143" s="16" t="n"/>
      <c r="H143" s="16" t="n"/>
      <c r="I143" s="16" t="n"/>
      <c r="J143" s="16" t="n"/>
      <c r="K143" s="16" t="n"/>
      <c r="L143" s="16" t="n"/>
      <c r="M143" s="18">
        <f>IF(OR(D143="",E143=""),"",IF(E143&lt;D143,"",E143-D143+1))</f>
        <v/>
      </c>
      <c r="N143" s="18">
        <f>IF(OR(B143="",C143="",D143="",E143=""),"",IF(COUNTIFS('Academic Terms'!$A$6:$A$101,B143,'Academic Terms'!$B$6:$B$101,C143)&lt;&gt;1,"Term not found",IF(OR(D143&lt;SUMIFS('Academic Terms'!$C$6:$C$101,'Academic Terms'!$A$6:$A$101,B143,'Academic Terms'!$B$6:$B$101,C143),E143&gt;SUMIFS('Academic Terms'!$D$6:$D$101,'Academic Terms'!$A$6:$A$101,B143,'Academic Terms'!$B$6:$B$101,C143)),"Yes","No")))</f>
        <v/>
      </c>
      <c r="O143" s="18">
        <f>IF(OR(A143="",B143="",D143="",E143="",J143="",K143="Cancelled"),"",IF(SUMPRODUCT(--($A$6:$A$205&lt;&gt;A143),--($B$6:$B$205=B143),--($J$6:$J$205=J143),--($D$6:$D$205&lt;=E143),--($E$6:$E$205&gt;=D143),--($K$6:$K$205&lt;&gt;"Cancelled"))&gt;0,"Yes","No"))</f>
        <v/>
      </c>
      <c r="P143" s="18">
        <f>IF(COUNTA(A143:L143)=0,"",IF(OR(A143="",B143="",C143="",D143="",E143="",F143="",G143="",K143=""),"Missing required fields",IF(COUNTIF($A$6:$A$205,A143)&gt;1,"Duplicate Event ID",IF(E143&lt;D143,"End date before start date",IF(N143="Term not found","Term not found",IF(N143="Yes","Outside term",IF(O143="Yes","Owner conflict",IF(AND(E143&lt;Dashboard!$B$4,K143&lt;&gt;"Completed",K143&lt;&gt;"Cancelled"),"Past event not completed",""))))))))</f>
        <v/>
      </c>
    </row>
    <row r="144">
      <c r="A144" s="16" t="n"/>
      <c r="B144" s="16" t="n"/>
      <c r="C144" s="16" t="n"/>
      <c r="D144" s="26" t="n"/>
      <c r="E144" s="26" t="n"/>
      <c r="F144" s="16" t="n"/>
      <c r="G144" s="16" t="n"/>
      <c r="H144" s="16" t="n"/>
      <c r="I144" s="16" t="n"/>
      <c r="J144" s="16" t="n"/>
      <c r="K144" s="16" t="n"/>
      <c r="L144" s="16" t="n"/>
      <c r="M144" s="18">
        <f>IF(OR(D144="",E144=""),"",IF(E144&lt;D144,"",E144-D144+1))</f>
        <v/>
      </c>
      <c r="N144" s="18">
        <f>IF(OR(B144="",C144="",D144="",E144=""),"",IF(COUNTIFS('Academic Terms'!$A$6:$A$101,B144,'Academic Terms'!$B$6:$B$101,C144)&lt;&gt;1,"Term not found",IF(OR(D144&lt;SUMIFS('Academic Terms'!$C$6:$C$101,'Academic Terms'!$A$6:$A$101,B144,'Academic Terms'!$B$6:$B$101,C144),E144&gt;SUMIFS('Academic Terms'!$D$6:$D$101,'Academic Terms'!$A$6:$A$101,B144,'Academic Terms'!$B$6:$B$101,C144)),"Yes","No")))</f>
        <v/>
      </c>
      <c r="O144" s="18">
        <f>IF(OR(A144="",B144="",D144="",E144="",J144="",K144="Cancelled"),"",IF(SUMPRODUCT(--($A$6:$A$205&lt;&gt;A144),--($B$6:$B$205=B144),--($J$6:$J$205=J144),--($D$6:$D$205&lt;=E144),--($E$6:$E$205&gt;=D144),--($K$6:$K$205&lt;&gt;"Cancelled"))&gt;0,"Yes","No"))</f>
        <v/>
      </c>
      <c r="P144" s="18">
        <f>IF(COUNTA(A144:L144)=0,"",IF(OR(A144="",B144="",C144="",D144="",E144="",F144="",G144="",K144=""),"Missing required fields",IF(COUNTIF($A$6:$A$205,A144)&gt;1,"Duplicate Event ID",IF(E144&lt;D144,"End date before start date",IF(N144="Term not found","Term not found",IF(N144="Yes","Outside term",IF(O144="Yes","Owner conflict",IF(AND(E144&lt;Dashboard!$B$4,K144&lt;&gt;"Completed",K144&lt;&gt;"Cancelled"),"Past event not completed",""))))))))</f>
        <v/>
      </c>
    </row>
    <row r="145">
      <c r="A145" s="16" t="n"/>
      <c r="B145" s="16" t="n"/>
      <c r="C145" s="16" t="n"/>
      <c r="D145" s="26" t="n"/>
      <c r="E145" s="26" t="n"/>
      <c r="F145" s="16" t="n"/>
      <c r="G145" s="16" t="n"/>
      <c r="H145" s="16" t="n"/>
      <c r="I145" s="16" t="n"/>
      <c r="J145" s="16" t="n"/>
      <c r="K145" s="16" t="n"/>
      <c r="L145" s="16" t="n"/>
      <c r="M145" s="18">
        <f>IF(OR(D145="",E145=""),"",IF(E145&lt;D145,"",E145-D145+1))</f>
        <v/>
      </c>
      <c r="N145" s="18">
        <f>IF(OR(B145="",C145="",D145="",E145=""),"",IF(COUNTIFS('Academic Terms'!$A$6:$A$101,B145,'Academic Terms'!$B$6:$B$101,C145)&lt;&gt;1,"Term not found",IF(OR(D145&lt;SUMIFS('Academic Terms'!$C$6:$C$101,'Academic Terms'!$A$6:$A$101,B145,'Academic Terms'!$B$6:$B$101,C145),E145&gt;SUMIFS('Academic Terms'!$D$6:$D$101,'Academic Terms'!$A$6:$A$101,B145,'Academic Terms'!$B$6:$B$101,C145)),"Yes","No")))</f>
        <v/>
      </c>
      <c r="O145" s="18">
        <f>IF(OR(A145="",B145="",D145="",E145="",J145="",K145="Cancelled"),"",IF(SUMPRODUCT(--($A$6:$A$205&lt;&gt;A145),--($B$6:$B$205=B145),--($J$6:$J$205=J145),--($D$6:$D$205&lt;=E145),--($E$6:$E$205&gt;=D145),--($K$6:$K$205&lt;&gt;"Cancelled"))&gt;0,"Yes","No"))</f>
        <v/>
      </c>
      <c r="P145" s="18">
        <f>IF(COUNTA(A145:L145)=0,"",IF(OR(A145="",B145="",C145="",D145="",E145="",F145="",G145="",K145=""),"Missing required fields",IF(COUNTIF($A$6:$A$205,A145)&gt;1,"Duplicate Event ID",IF(E145&lt;D145,"End date before start date",IF(N145="Term not found","Term not found",IF(N145="Yes","Outside term",IF(O145="Yes","Owner conflict",IF(AND(E145&lt;Dashboard!$B$4,K145&lt;&gt;"Completed",K145&lt;&gt;"Cancelled"),"Past event not completed",""))))))))</f>
        <v/>
      </c>
    </row>
    <row r="146">
      <c r="A146" s="16" t="n"/>
      <c r="B146" s="16" t="n"/>
      <c r="C146" s="16" t="n"/>
      <c r="D146" s="26" t="n"/>
      <c r="E146" s="26" t="n"/>
      <c r="F146" s="16" t="n"/>
      <c r="G146" s="16" t="n"/>
      <c r="H146" s="16" t="n"/>
      <c r="I146" s="16" t="n"/>
      <c r="J146" s="16" t="n"/>
      <c r="K146" s="16" t="n"/>
      <c r="L146" s="16" t="n"/>
      <c r="M146" s="18">
        <f>IF(OR(D146="",E146=""),"",IF(E146&lt;D146,"",E146-D146+1))</f>
        <v/>
      </c>
      <c r="N146" s="18">
        <f>IF(OR(B146="",C146="",D146="",E146=""),"",IF(COUNTIFS('Academic Terms'!$A$6:$A$101,B146,'Academic Terms'!$B$6:$B$101,C146)&lt;&gt;1,"Term not found",IF(OR(D146&lt;SUMIFS('Academic Terms'!$C$6:$C$101,'Academic Terms'!$A$6:$A$101,B146,'Academic Terms'!$B$6:$B$101,C146),E146&gt;SUMIFS('Academic Terms'!$D$6:$D$101,'Academic Terms'!$A$6:$A$101,B146,'Academic Terms'!$B$6:$B$101,C146)),"Yes","No")))</f>
        <v/>
      </c>
      <c r="O146" s="18">
        <f>IF(OR(A146="",B146="",D146="",E146="",J146="",K146="Cancelled"),"",IF(SUMPRODUCT(--($A$6:$A$205&lt;&gt;A146),--($B$6:$B$205=B146),--($J$6:$J$205=J146),--($D$6:$D$205&lt;=E146),--($E$6:$E$205&gt;=D146),--($K$6:$K$205&lt;&gt;"Cancelled"))&gt;0,"Yes","No"))</f>
        <v/>
      </c>
      <c r="P146" s="18">
        <f>IF(COUNTA(A146:L146)=0,"",IF(OR(A146="",B146="",C146="",D146="",E146="",F146="",G146="",K146=""),"Missing required fields",IF(COUNTIF($A$6:$A$205,A146)&gt;1,"Duplicate Event ID",IF(E146&lt;D146,"End date before start date",IF(N146="Term not found","Term not found",IF(N146="Yes","Outside term",IF(O146="Yes","Owner conflict",IF(AND(E146&lt;Dashboard!$B$4,K146&lt;&gt;"Completed",K146&lt;&gt;"Cancelled"),"Past event not completed",""))))))))</f>
        <v/>
      </c>
    </row>
    <row r="147">
      <c r="A147" s="16" t="n"/>
      <c r="B147" s="16" t="n"/>
      <c r="C147" s="16" t="n"/>
      <c r="D147" s="26" t="n"/>
      <c r="E147" s="26" t="n"/>
      <c r="F147" s="16" t="n"/>
      <c r="G147" s="16" t="n"/>
      <c r="H147" s="16" t="n"/>
      <c r="I147" s="16" t="n"/>
      <c r="J147" s="16" t="n"/>
      <c r="K147" s="16" t="n"/>
      <c r="L147" s="16" t="n"/>
      <c r="M147" s="18">
        <f>IF(OR(D147="",E147=""),"",IF(E147&lt;D147,"",E147-D147+1))</f>
        <v/>
      </c>
      <c r="N147" s="18">
        <f>IF(OR(B147="",C147="",D147="",E147=""),"",IF(COUNTIFS('Academic Terms'!$A$6:$A$101,B147,'Academic Terms'!$B$6:$B$101,C147)&lt;&gt;1,"Term not found",IF(OR(D147&lt;SUMIFS('Academic Terms'!$C$6:$C$101,'Academic Terms'!$A$6:$A$101,B147,'Academic Terms'!$B$6:$B$101,C147),E147&gt;SUMIFS('Academic Terms'!$D$6:$D$101,'Academic Terms'!$A$6:$A$101,B147,'Academic Terms'!$B$6:$B$101,C147)),"Yes","No")))</f>
        <v/>
      </c>
      <c r="O147" s="18">
        <f>IF(OR(A147="",B147="",D147="",E147="",J147="",K147="Cancelled"),"",IF(SUMPRODUCT(--($A$6:$A$205&lt;&gt;A147),--($B$6:$B$205=B147),--($J$6:$J$205=J147),--($D$6:$D$205&lt;=E147),--($E$6:$E$205&gt;=D147),--($K$6:$K$205&lt;&gt;"Cancelled"))&gt;0,"Yes","No"))</f>
        <v/>
      </c>
      <c r="P147" s="18">
        <f>IF(COUNTA(A147:L147)=0,"",IF(OR(A147="",B147="",C147="",D147="",E147="",F147="",G147="",K147=""),"Missing required fields",IF(COUNTIF($A$6:$A$205,A147)&gt;1,"Duplicate Event ID",IF(E147&lt;D147,"End date before start date",IF(N147="Term not found","Term not found",IF(N147="Yes","Outside term",IF(O147="Yes","Owner conflict",IF(AND(E147&lt;Dashboard!$B$4,K147&lt;&gt;"Completed",K147&lt;&gt;"Cancelled"),"Past event not completed",""))))))))</f>
        <v/>
      </c>
    </row>
    <row r="148">
      <c r="A148" s="16" t="n"/>
      <c r="B148" s="16" t="n"/>
      <c r="C148" s="16" t="n"/>
      <c r="D148" s="26" t="n"/>
      <c r="E148" s="26" t="n"/>
      <c r="F148" s="16" t="n"/>
      <c r="G148" s="16" t="n"/>
      <c r="H148" s="16" t="n"/>
      <c r="I148" s="16" t="n"/>
      <c r="J148" s="16" t="n"/>
      <c r="K148" s="16" t="n"/>
      <c r="L148" s="16" t="n"/>
      <c r="M148" s="18">
        <f>IF(OR(D148="",E148=""),"",IF(E148&lt;D148,"",E148-D148+1))</f>
        <v/>
      </c>
      <c r="N148" s="18">
        <f>IF(OR(B148="",C148="",D148="",E148=""),"",IF(COUNTIFS('Academic Terms'!$A$6:$A$101,B148,'Academic Terms'!$B$6:$B$101,C148)&lt;&gt;1,"Term not found",IF(OR(D148&lt;SUMIFS('Academic Terms'!$C$6:$C$101,'Academic Terms'!$A$6:$A$101,B148,'Academic Terms'!$B$6:$B$101,C148),E148&gt;SUMIFS('Academic Terms'!$D$6:$D$101,'Academic Terms'!$A$6:$A$101,B148,'Academic Terms'!$B$6:$B$101,C148)),"Yes","No")))</f>
        <v/>
      </c>
      <c r="O148" s="18">
        <f>IF(OR(A148="",B148="",D148="",E148="",J148="",K148="Cancelled"),"",IF(SUMPRODUCT(--($A$6:$A$205&lt;&gt;A148),--($B$6:$B$205=B148),--($J$6:$J$205=J148),--($D$6:$D$205&lt;=E148),--($E$6:$E$205&gt;=D148),--($K$6:$K$205&lt;&gt;"Cancelled"))&gt;0,"Yes","No"))</f>
        <v/>
      </c>
      <c r="P148" s="18">
        <f>IF(COUNTA(A148:L148)=0,"",IF(OR(A148="",B148="",C148="",D148="",E148="",F148="",G148="",K148=""),"Missing required fields",IF(COUNTIF($A$6:$A$205,A148)&gt;1,"Duplicate Event ID",IF(E148&lt;D148,"End date before start date",IF(N148="Term not found","Term not found",IF(N148="Yes","Outside term",IF(O148="Yes","Owner conflict",IF(AND(E148&lt;Dashboard!$B$4,K148&lt;&gt;"Completed",K148&lt;&gt;"Cancelled"),"Past event not completed",""))))))))</f>
        <v/>
      </c>
    </row>
    <row r="149">
      <c r="A149" s="16" t="n"/>
      <c r="B149" s="16" t="n"/>
      <c r="C149" s="16" t="n"/>
      <c r="D149" s="26" t="n"/>
      <c r="E149" s="26" t="n"/>
      <c r="F149" s="16" t="n"/>
      <c r="G149" s="16" t="n"/>
      <c r="H149" s="16" t="n"/>
      <c r="I149" s="16" t="n"/>
      <c r="J149" s="16" t="n"/>
      <c r="K149" s="16" t="n"/>
      <c r="L149" s="16" t="n"/>
      <c r="M149" s="18">
        <f>IF(OR(D149="",E149=""),"",IF(E149&lt;D149,"",E149-D149+1))</f>
        <v/>
      </c>
      <c r="N149" s="18">
        <f>IF(OR(B149="",C149="",D149="",E149=""),"",IF(COUNTIFS('Academic Terms'!$A$6:$A$101,B149,'Academic Terms'!$B$6:$B$101,C149)&lt;&gt;1,"Term not found",IF(OR(D149&lt;SUMIFS('Academic Terms'!$C$6:$C$101,'Academic Terms'!$A$6:$A$101,B149,'Academic Terms'!$B$6:$B$101,C149),E149&gt;SUMIFS('Academic Terms'!$D$6:$D$101,'Academic Terms'!$A$6:$A$101,B149,'Academic Terms'!$B$6:$B$101,C149)),"Yes","No")))</f>
        <v/>
      </c>
      <c r="O149" s="18">
        <f>IF(OR(A149="",B149="",D149="",E149="",J149="",K149="Cancelled"),"",IF(SUMPRODUCT(--($A$6:$A$205&lt;&gt;A149),--($B$6:$B$205=B149),--($J$6:$J$205=J149),--($D$6:$D$205&lt;=E149),--($E$6:$E$205&gt;=D149),--($K$6:$K$205&lt;&gt;"Cancelled"))&gt;0,"Yes","No"))</f>
        <v/>
      </c>
      <c r="P149" s="18">
        <f>IF(COUNTA(A149:L149)=0,"",IF(OR(A149="",B149="",C149="",D149="",E149="",F149="",G149="",K149=""),"Missing required fields",IF(COUNTIF($A$6:$A$205,A149)&gt;1,"Duplicate Event ID",IF(E149&lt;D149,"End date before start date",IF(N149="Term not found","Term not found",IF(N149="Yes","Outside term",IF(O149="Yes","Owner conflict",IF(AND(E149&lt;Dashboard!$B$4,K149&lt;&gt;"Completed",K149&lt;&gt;"Cancelled"),"Past event not completed",""))))))))</f>
        <v/>
      </c>
    </row>
    <row r="150">
      <c r="A150" s="16" t="n"/>
      <c r="B150" s="16" t="n"/>
      <c r="C150" s="16" t="n"/>
      <c r="D150" s="26" t="n"/>
      <c r="E150" s="26" t="n"/>
      <c r="F150" s="16" t="n"/>
      <c r="G150" s="16" t="n"/>
      <c r="H150" s="16" t="n"/>
      <c r="I150" s="16" t="n"/>
      <c r="J150" s="16" t="n"/>
      <c r="K150" s="16" t="n"/>
      <c r="L150" s="16" t="n"/>
      <c r="M150" s="18">
        <f>IF(OR(D150="",E150=""),"",IF(E150&lt;D150,"",E150-D150+1))</f>
        <v/>
      </c>
      <c r="N150" s="18">
        <f>IF(OR(B150="",C150="",D150="",E150=""),"",IF(COUNTIFS('Academic Terms'!$A$6:$A$101,B150,'Academic Terms'!$B$6:$B$101,C150)&lt;&gt;1,"Term not found",IF(OR(D150&lt;SUMIFS('Academic Terms'!$C$6:$C$101,'Academic Terms'!$A$6:$A$101,B150,'Academic Terms'!$B$6:$B$101,C150),E150&gt;SUMIFS('Academic Terms'!$D$6:$D$101,'Academic Terms'!$A$6:$A$101,B150,'Academic Terms'!$B$6:$B$101,C150)),"Yes","No")))</f>
        <v/>
      </c>
      <c r="O150" s="18">
        <f>IF(OR(A150="",B150="",D150="",E150="",J150="",K150="Cancelled"),"",IF(SUMPRODUCT(--($A$6:$A$205&lt;&gt;A150),--($B$6:$B$205=B150),--($J$6:$J$205=J150),--($D$6:$D$205&lt;=E150),--($E$6:$E$205&gt;=D150),--($K$6:$K$205&lt;&gt;"Cancelled"))&gt;0,"Yes","No"))</f>
        <v/>
      </c>
      <c r="P150" s="18">
        <f>IF(COUNTA(A150:L150)=0,"",IF(OR(A150="",B150="",C150="",D150="",E150="",F150="",G150="",K150=""),"Missing required fields",IF(COUNTIF($A$6:$A$205,A150)&gt;1,"Duplicate Event ID",IF(E150&lt;D150,"End date before start date",IF(N150="Term not found","Term not found",IF(N150="Yes","Outside term",IF(O150="Yes","Owner conflict",IF(AND(E150&lt;Dashboard!$B$4,K150&lt;&gt;"Completed",K150&lt;&gt;"Cancelled"),"Past event not completed",""))))))))</f>
        <v/>
      </c>
    </row>
    <row r="151">
      <c r="A151" s="16" t="n"/>
      <c r="B151" s="16" t="n"/>
      <c r="C151" s="16" t="n"/>
      <c r="D151" s="26" t="n"/>
      <c r="E151" s="26" t="n"/>
      <c r="F151" s="16" t="n"/>
      <c r="G151" s="16" t="n"/>
      <c r="H151" s="16" t="n"/>
      <c r="I151" s="16" t="n"/>
      <c r="J151" s="16" t="n"/>
      <c r="K151" s="16" t="n"/>
      <c r="L151" s="16" t="n"/>
      <c r="M151" s="18">
        <f>IF(OR(D151="",E151=""),"",IF(E151&lt;D151,"",E151-D151+1))</f>
        <v/>
      </c>
      <c r="N151" s="18">
        <f>IF(OR(B151="",C151="",D151="",E151=""),"",IF(COUNTIFS('Academic Terms'!$A$6:$A$101,B151,'Academic Terms'!$B$6:$B$101,C151)&lt;&gt;1,"Term not found",IF(OR(D151&lt;SUMIFS('Academic Terms'!$C$6:$C$101,'Academic Terms'!$A$6:$A$101,B151,'Academic Terms'!$B$6:$B$101,C151),E151&gt;SUMIFS('Academic Terms'!$D$6:$D$101,'Academic Terms'!$A$6:$A$101,B151,'Academic Terms'!$B$6:$B$101,C151)),"Yes","No")))</f>
        <v/>
      </c>
      <c r="O151" s="18">
        <f>IF(OR(A151="",B151="",D151="",E151="",J151="",K151="Cancelled"),"",IF(SUMPRODUCT(--($A$6:$A$205&lt;&gt;A151),--($B$6:$B$205=B151),--($J$6:$J$205=J151),--($D$6:$D$205&lt;=E151),--($E$6:$E$205&gt;=D151),--($K$6:$K$205&lt;&gt;"Cancelled"))&gt;0,"Yes","No"))</f>
        <v/>
      </c>
      <c r="P151" s="18">
        <f>IF(COUNTA(A151:L151)=0,"",IF(OR(A151="",B151="",C151="",D151="",E151="",F151="",G151="",K151=""),"Missing required fields",IF(COUNTIF($A$6:$A$205,A151)&gt;1,"Duplicate Event ID",IF(E151&lt;D151,"End date before start date",IF(N151="Term not found","Term not found",IF(N151="Yes","Outside term",IF(O151="Yes","Owner conflict",IF(AND(E151&lt;Dashboard!$B$4,K151&lt;&gt;"Completed",K151&lt;&gt;"Cancelled"),"Past event not completed",""))))))))</f>
        <v/>
      </c>
    </row>
    <row r="152">
      <c r="A152" s="16" t="n"/>
      <c r="B152" s="16" t="n"/>
      <c r="C152" s="16" t="n"/>
      <c r="D152" s="26" t="n"/>
      <c r="E152" s="26" t="n"/>
      <c r="F152" s="16" t="n"/>
      <c r="G152" s="16" t="n"/>
      <c r="H152" s="16" t="n"/>
      <c r="I152" s="16" t="n"/>
      <c r="J152" s="16" t="n"/>
      <c r="K152" s="16" t="n"/>
      <c r="L152" s="16" t="n"/>
      <c r="M152" s="18">
        <f>IF(OR(D152="",E152=""),"",IF(E152&lt;D152,"",E152-D152+1))</f>
        <v/>
      </c>
      <c r="N152" s="18">
        <f>IF(OR(B152="",C152="",D152="",E152=""),"",IF(COUNTIFS('Academic Terms'!$A$6:$A$101,B152,'Academic Terms'!$B$6:$B$101,C152)&lt;&gt;1,"Term not found",IF(OR(D152&lt;SUMIFS('Academic Terms'!$C$6:$C$101,'Academic Terms'!$A$6:$A$101,B152,'Academic Terms'!$B$6:$B$101,C152),E152&gt;SUMIFS('Academic Terms'!$D$6:$D$101,'Academic Terms'!$A$6:$A$101,B152,'Academic Terms'!$B$6:$B$101,C152)),"Yes","No")))</f>
        <v/>
      </c>
      <c r="O152" s="18">
        <f>IF(OR(A152="",B152="",D152="",E152="",J152="",K152="Cancelled"),"",IF(SUMPRODUCT(--($A$6:$A$205&lt;&gt;A152),--($B$6:$B$205=B152),--($J$6:$J$205=J152),--($D$6:$D$205&lt;=E152),--($E$6:$E$205&gt;=D152),--($K$6:$K$205&lt;&gt;"Cancelled"))&gt;0,"Yes","No"))</f>
        <v/>
      </c>
      <c r="P152" s="18">
        <f>IF(COUNTA(A152:L152)=0,"",IF(OR(A152="",B152="",C152="",D152="",E152="",F152="",G152="",K152=""),"Missing required fields",IF(COUNTIF($A$6:$A$205,A152)&gt;1,"Duplicate Event ID",IF(E152&lt;D152,"End date before start date",IF(N152="Term not found","Term not found",IF(N152="Yes","Outside term",IF(O152="Yes","Owner conflict",IF(AND(E152&lt;Dashboard!$B$4,K152&lt;&gt;"Completed",K152&lt;&gt;"Cancelled"),"Past event not completed",""))))))))</f>
        <v/>
      </c>
    </row>
    <row r="153">
      <c r="A153" s="16" t="n"/>
      <c r="B153" s="16" t="n"/>
      <c r="C153" s="16" t="n"/>
      <c r="D153" s="26" t="n"/>
      <c r="E153" s="26" t="n"/>
      <c r="F153" s="16" t="n"/>
      <c r="G153" s="16" t="n"/>
      <c r="H153" s="16" t="n"/>
      <c r="I153" s="16" t="n"/>
      <c r="J153" s="16" t="n"/>
      <c r="K153" s="16" t="n"/>
      <c r="L153" s="16" t="n"/>
      <c r="M153" s="18">
        <f>IF(OR(D153="",E153=""),"",IF(E153&lt;D153,"",E153-D153+1))</f>
        <v/>
      </c>
      <c r="N153" s="18">
        <f>IF(OR(B153="",C153="",D153="",E153=""),"",IF(COUNTIFS('Academic Terms'!$A$6:$A$101,B153,'Academic Terms'!$B$6:$B$101,C153)&lt;&gt;1,"Term not found",IF(OR(D153&lt;SUMIFS('Academic Terms'!$C$6:$C$101,'Academic Terms'!$A$6:$A$101,B153,'Academic Terms'!$B$6:$B$101,C153),E153&gt;SUMIFS('Academic Terms'!$D$6:$D$101,'Academic Terms'!$A$6:$A$101,B153,'Academic Terms'!$B$6:$B$101,C153)),"Yes","No")))</f>
        <v/>
      </c>
      <c r="O153" s="18">
        <f>IF(OR(A153="",B153="",D153="",E153="",J153="",K153="Cancelled"),"",IF(SUMPRODUCT(--($A$6:$A$205&lt;&gt;A153),--($B$6:$B$205=B153),--($J$6:$J$205=J153),--($D$6:$D$205&lt;=E153),--($E$6:$E$205&gt;=D153),--($K$6:$K$205&lt;&gt;"Cancelled"))&gt;0,"Yes","No"))</f>
        <v/>
      </c>
      <c r="P153" s="18">
        <f>IF(COUNTA(A153:L153)=0,"",IF(OR(A153="",B153="",C153="",D153="",E153="",F153="",G153="",K153=""),"Missing required fields",IF(COUNTIF($A$6:$A$205,A153)&gt;1,"Duplicate Event ID",IF(E153&lt;D153,"End date before start date",IF(N153="Term not found","Term not found",IF(N153="Yes","Outside term",IF(O153="Yes","Owner conflict",IF(AND(E153&lt;Dashboard!$B$4,K153&lt;&gt;"Completed",K153&lt;&gt;"Cancelled"),"Past event not completed",""))))))))</f>
        <v/>
      </c>
    </row>
    <row r="154">
      <c r="A154" s="16" t="n"/>
      <c r="B154" s="16" t="n"/>
      <c r="C154" s="16" t="n"/>
      <c r="D154" s="26" t="n"/>
      <c r="E154" s="26" t="n"/>
      <c r="F154" s="16" t="n"/>
      <c r="G154" s="16" t="n"/>
      <c r="H154" s="16" t="n"/>
      <c r="I154" s="16" t="n"/>
      <c r="J154" s="16" t="n"/>
      <c r="K154" s="16" t="n"/>
      <c r="L154" s="16" t="n"/>
      <c r="M154" s="18">
        <f>IF(OR(D154="",E154=""),"",IF(E154&lt;D154,"",E154-D154+1))</f>
        <v/>
      </c>
      <c r="N154" s="18">
        <f>IF(OR(B154="",C154="",D154="",E154=""),"",IF(COUNTIFS('Academic Terms'!$A$6:$A$101,B154,'Academic Terms'!$B$6:$B$101,C154)&lt;&gt;1,"Term not found",IF(OR(D154&lt;SUMIFS('Academic Terms'!$C$6:$C$101,'Academic Terms'!$A$6:$A$101,B154,'Academic Terms'!$B$6:$B$101,C154),E154&gt;SUMIFS('Academic Terms'!$D$6:$D$101,'Academic Terms'!$A$6:$A$101,B154,'Academic Terms'!$B$6:$B$101,C154)),"Yes","No")))</f>
        <v/>
      </c>
      <c r="O154" s="18">
        <f>IF(OR(A154="",B154="",D154="",E154="",J154="",K154="Cancelled"),"",IF(SUMPRODUCT(--($A$6:$A$205&lt;&gt;A154),--($B$6:$B$205=B154),--($J$6:$J$205=J154),--($D$6:$D$205&lt;=E154),--($E$6:$E$205&gt;=D154),--($K$6:$K$205&lt;&gt;"Cancelled"))&gt;0,"Yes","No"))</f>
        <v/>
      </c>
      <c r="P154" s="18">
        <f>IF(COUNTA(A154:L154)=0,"",IF(OR(A154="",B154="",C154="",D154="",E154="",F154="",G154="",K154=""),"Missing required fields",IF(COUNTIF($A$6:$A$205,A154)&gt;1,"Duplicate Event ID",IF(E154&lt;D154,"End date before start date",IF(N154="Term not found","Term not found",IF(N154="Yes","Outside term",IF(O154="Yes","Owner conflict",IF(AND(E154&lt;Dashboard!$B$4,K154&lt;&gt;"Completed",K154&lt;&gt;"Cancelled"),"Past event not completed",""))))))))</f>
        <v/>
      </c>
    </row>
    <row r="155">
      <c r="A155" s="16" t="n"/>
      <c r="B155" s="16" t="n"/>
      <c r="C155" s="16" t="n"/>
      <c r="D155" s="26" t="n"/>
      <c r="E155" s="26" t="n"/>
      <c r="F155" s="16" t="n"/>
      <c r="G155" s="16" t="n"/>
      <c r="H155" s="16" t="n"/>
      <c r="I155" s="16" t="n"/>
      <c r="J155" s="16" t="n"/>
      <c r="K155" s="16" t="n"/>
      <c r="L155" s="16" t="n"/>
      <c r="M155" s="18">
        <f>IF(OR(D155="",E155=""),"",IF(E155&lt;D155,"",E155-D155+1))</f>
        <v/>
      </c>
      <c r="N155" s="18">
        <f>IF(OR(B155="",C155="",D155="",E155=""),"",IF(COUNTIFS('Academic Terms'!$A$6:$A$101,B155,'Academic Terms'!$B$6:$B$101,C155)&lt;&gt;1,"Term not found",IF(OR(D155&lt;SUMIFS('Academic Terms'!$C$6:$C$101,'Academic Terms'!$A$6:$A$101,B155,'Academic Terms'!$B$6:$B$101,C155),E155&gt;SUMIFS('Academic Terms'!$D$6:$D$101,'Academic Terms'!$A$6:$A$101,B155,'Academic Terms'!$B$6:$B$101,C155)),"Yes","No")))</f>
        <v/>
      </c>
      <c r="O155" s="18">
        <f>IF(OR(A155="",B155="",D155="",E155="",J155="",K155="Cancelled"),"",IF(SUMPRODUCT(--($A$6:$A$205&lt;&gt;A155),--($B$6:$B$205=B155),--($J$6:$J$205=J155),--($D$6:$D$205&lt;=E155),--($E$6:$E$205&gt;=D155),--($K$6:$K$205&lt;&gt;"Cancelled"))&gt;0,"Yes","No"))</f>
        <v/>
      </c>
      <c r="P155" s="18">
        <f>IF(COUNTA(A155:L155)=0,"",IF(OR(A155="",B155="",C155="",D155="",E155="",F155="",G155="",K155=""),"Missing required fields",IF(COUNTIF($A$6:$A$205,A155)&gt;1,"Duplicate Event ID",IF(E155&lt;D155,"End date before start date",IF(N155="Term not found","Term not found",IF(N155="Yes","Outside term",IF(O155="Yes","Owner conflict",IF(AND(E155&lt;Dashboard!$B$4,K155&lt;&gt;"Completed",K155&lt;&gt;"Cancelled"),"Past event not completed",""))))))))</f>
        <v/>
      </c>
    </row>
    <row r="156">
      <c r="A156" s="16" t="n"/>
      <c r="B156" s="16" t="n"/>
      <c r="C156" s="16" t="n"/>
      <c r="D156" s="26" t="n"/>
      <c r="E156" s="26" t="n"/>
      <c r="F156" s="16" t="n"/>
      <c r="G156" s="16" t="n"/>
      <c r="H156" s="16" t="n"/>
      <c r="I156" s="16" t="n"/>
      <c r="J156" s="16" t="n"/>
      <c r="K156" s="16" t="n"/>
      <c r="L156" s="16" t="n"/>
      <c r="M156" s="18">
        <f>IF(OR(D156="",E156=""),"",IF(E156&lt;D156,"",E156-D156+1))</f>
        <v/>
      </c>
      <c r="N156" s="18">
        <f>IF(OR(B156="",C156="",D156="",E156=""),"",IF(COUNTIFS('Academic Terms'!$A$6:$A$101,B156,'Academic Terms'!$B$6:$B$101,C156)&lt;&gt;1,"Term not found",IF(OR(D156&lt;SUMIFS('Academic Terms'!$C$6:$C$101,'Academic Terms'!$A$6:$A$101,B156,'Academic Terms'!$B$6:$B$101,C156),E156&gt;SUMIFS('Academic Terms'!$D$6:$D$101,'Academic Terms'!$A$6:$A$101,B156,'Academic Terms'!$B$6:$B$101,C156)),"Yes","No")))</f>
        <v/>
      </c>
      <c r="O156" s="18">
        <f>IF(OR(A156="",B156="",D156="",E156="",J156="",K156="Cancelled"),"",IF(SUMPRODUCT(--($A$6:$A$205&lt;&gt;A156),--($B$6:$B$205=B156),--($J$6:$J$205=J156),--($D$6:$D$205&lt;=E156),--($E$6:$E$205&gt;=D156),--($K$6:$K$205&lt;&gt;"Cancelled"))&gt;0,"Yes","No"))</f>
        <v/>
      </c>
      <c r="P156" s="18">
        <f>IF(COUNTA(A156:L156)=0,"",IF(OR(A156="",B156="",C156="",D156="",E156="",F156="",G156="",K156=""),"Missing required fields",IF(COUNTIF($A$6:$A$205,A156)&gt;1,"Duplicate Event ID",IF(E156&lt;D156,"End date before start date",IF(N156="Term not found","Term not found",IF(N156="Yes","Outside term",IF(O156="Yes","Owner conflict",IF(AND(E156&lt;Dashboard!$B$4,K156&lt;&gt;"Completed",K156&lt;&gt;"Cancelled"),"Past event not completed",""))))))))</f>
        <v/>
      </c>
    </row>
    <row r="157">
      <c r="A157" s="16" t="n"/>
      <c r="B157" s="16" t="n"/>
      <c r="C157" s="16" t="n"/>
      <c r="D157" s="26" t="n"/>
      <c r="E157" s="26" t="n"/>
      <c r="F157" s="16" t="n"/>
      <c r="G157" s="16" t="n"/>
      <c r="H157" s="16" t="n"/>
      <c r="I157" s="16" t="n"/>
      <c r="J157" s="16" t="n"/>
      <c r="K157" s="16" t="n"/>
      <c r="L157" s="16" t="n"/>
      <c r="M157" s="18">
        <f>IF(OR(D157="",E157=""),"",IF(E157&lt;D157,"",E157-D157+1))</f>
        <v/>
      </c>
      <c r="N157" s="18">
        <f>IF(OR(B157="",C157="",D157="",E157=""),"",IF(COUNTIFS('Academic Terms'!$A$6:$A$101,B157,'Academic Terms'!$B$6:$B$101,C157)&lt;&gt;1,"Term not found",IF(OR(D157&lt;SUMIFS('Academic Terms'!$C$6:$C$101,'Academic Terms'!$A$6:$A$101,B157,'Academic Terms'!$B$6:$B$101,C157),E157&gt;SUMIFS('Academic Terms'!$D$6:$D$101,'Academic Terms'!$A$6:$A$101,B157,'Academic Terms'!$B$6:$B$101,C157)),"Yes","No")))</f>
        <v/>
      </c>
      <c r="O157" s="18">
        <f>IF(OR(A157="",B157="",D157="",E157="",J157="",K157="Cancelled"),"",IF(SUMPRODUCT(--($A$6:$A$205&lt;&gt;A157),--($B$6:$B$205=B157),--($J$6:$J$205=J157),--($D$6:$D$205&lt;=E157),--($E$6:$E$205&gt;=D157),--($K$6:$K$205&lt;&gt;"Cancelled"))&gt;0,"Yes","No"))</f>
        <v/>
      </c>
      <c r="P157" s="18">
        <f>IF(COUNTA(A157:L157)=0,"",IF(OR(A157="",B157="",C157="",D157="",E157="",F157="",G157="",K157=""),"Missing required fields",IF(COUNTIF($A$6:$A$205,A157)&gt;1,"Duplicate Event ID",IF(E157&lt;D157,"End date before start date",IF(N157="Term not found","Term not found",IF(N157="Yes","Outside term",IF(O157="Yes","Owner conflict",IF(AND(E157&lt;Dashboard!$B$4,K157&lt;&gt;"Completed",K157&lt;&gt;"Cancelled"),"Past event not completed",""))))))))</f>
        <v/>
      </c>
    </row>
    <row r="158">
      <c r="A158" s="16" t="n"/>
      <c r="B158" s="16" t="n"/>
      <c r="C158" s="16" t="n"/>
      <c r="D158" s="26" t="n"/>
      <c r="E158" s="26" t="n"/>
      <c r="F158" s="16" t="n"/>
      <c r="G158" s="16" t="n"/>
      <c r="H158" s="16" t="n"/>
      <c r="I158" s="16" t="n"/>
      <c r="J158" s="16" t="n"/>
      <c r="K158" s="16" t="n"/>
      <c r="L158" s="16" t="n"/>
      <c r="M158" s="18">
        <f>IF(OR(D158="",E158=""),"",IF(E158&lt;D158,"",E158-D158+1))</f>
        <v/>
      </c>
      <c r="N158" s="18">
        <f>IF(OR(B158="",C158="",D158="",E158=""),"",IF(COUNTIFS('Academic Terms'!$A$6:$A$101,B158,'Academic Terms'!$B$6:$B$101,C158)&lt;&gt;1,"Term not found",IF(OR(D158&lt;SUMIFS('Academic Terms'!$C$6:$C$101,'Academic Terms'!$A$6:$A$101,B158,'Academic Terms'!$B$6:$B$101,C158),E158&gt;SUMIFS('Academic Terms'!$D$6:$D$101,'Academic Terms'!$A$6:$A$101,B158,'Academic Terms'!$B$6:$B$101,C158)),"Yes","No")))</f>
        <v/>
      </c>
      <c r="O158" s="18">
        <f>IF(OR(A158="",B158="",D158="",E158="",J158="",K158="Cancelled"),"",IF(SUMPRODUCT(--($A$6:$A$205&lt;&gt;A158),--($B$6:$B$205=B158),--($J$6:$J$205=J158),--($D$6:$D$205&lt;=E158),--($E$6:$E$205&gt;=D158),--($K$6:$K$205&lt;&gt;"Cancelled"))&gt;0,"Yes","No"))</f>
        <v/>
      </c>
      <c r="P158" s="18">
        <f>IF(COUNTA(A158:L158)=0,"",IF(OR(A158="",B158="",C158="",D158="",E158="",F158="",G158="",K158=""),"Missing required fields",IF(COUNTIF($A$6:$A$205,A158)&gt;1,"Duplicate Event ID",IF(E158&lt;D158,"End date before start date",IF(N158="Term not found","Term not found",IF(N158="Yes","Outside term",IF(O158="Yes","Owner conflict",IF(AND(E158&lt;Dashboard!$B$4,K158&lt;&gt;"Completed",K158&lt;&gt;"Cancelled"),"Past event not completed",""))))))))</f>
        <v/>
      </c>
    </row>
    <row r="159">
      <c r="A159" s="16" t="n"/>
      <c r="B159" s="16" t="n"/>
      <c r="C159" s="16" t="n"/>
      <c r="D159" s="26" t="n"/>
      <c r="E159" s="26" t="n"/>
      <c r="F159" s="16" t="n"/>
      <c r="G159" s="16" t="n"/>
      <c r="H159" s="16" t="n"/>
      <c r="I159" s="16" t="n"/>
      <c r="J159" s="16" t="n"/>
      <c r="K159" s="16" t="n"/>
      <c r="L159" s="16" t="n"/>
      <c r="M159" s="18">
        <f>IF(OR(D159="",E159=""),"",IF(E159&lt;D159,"",E159-D159+1))</f>
        <v/>
      </c>
      <c r="N159" s="18">
        <f>IF(OR(B159="",C159="",D159="",E159=""),"",IF(COUNTIFS('Academic Terms'!$A$6:$A$101,B159,'Academic Terms'!$B$6:$B$101,C159)&lt;&gt;1,"Term not found",IF(OR(D159&lt;SUMIFS('Academic Terms'!$C$6:$C$101,'Academic Terms'!$A$6:$A$101,B159,'Academic Terms'!$B$6:$B$101,C159),E159&gt;SUMIFS('Academic Terms'!$D$6:$D$101,'Academic Terms'!$A$6:$A$101,B159,'Academic Terms'!$B$6:$B$101,C159)),"Yes","No")))</f>
        <v/>
      </c>
      <c r="O159" s="18">
        <f>IF(OR(A159="",B159="",D159="",E159="",J159="",K159="Cancelled"),"",IF(SUMPRODUCT(--($A$6:$A$205&lt;&gt;A159),--($B$6:$B$205=B159),--($J$6:$J$205=J159),--($D$6:$D$205&lt;=E159),--($E$6:$E$205&gt;=D159),--($K$6:$K$205&lt;&gt;"Cancelled"))&gt;0,"Yes","No"))</f>
        <v/>
      </c>
      <c r="P159" s="18">
        <f>IF(COUNTA(A159:L159)=0,"",IF(OR(A159="",B159="",C159="",D159="",E159="",F159="",G159="",K159=""),"Missing required fields",IF(COUNTIF($A$6:$A$205,A159)&gt;1,"Duplicate Event ID",IF(E159&lt;D159,"End date before start date",IF(N159="Term not found","Term not found",IF(N159="Yes","Outside term",IF(O159="Yes","Owner conflict",IF(AND(E159&lt;Dashboard!$B$4,K159&lt;&gt;"Completed",K159&lt;&gt;"Cancelled"),"Past event not completed",""))))))))</f>
        <v/>
      </c>
    </row>
    <row r="160">
      <c r="A160" s="16" t="n"/>
      <c r="B160" s="16" t="n"/>
      <c r="C160" s="16" t="n"/>
      <c r="D160" s="26" t="n"/>
      <c r="E160" s="26" t="n"/>
      <c r="F160" s="16" t="n"/>
      <c r="G160" s="16" t="n"/>
      <c r="H160" s="16" t="n"/>
      <c r="I160" s="16" t="n"/>
      <c r="J160" s="16" t="n"/>
      <c r="K160" s="16" t="n"/>
      <c r="L160" s="16" t="n"/>
      <c r="M160" s="18">
        <f>IF(OR(D160="",E160=""),"",IF(E160&lt;D160,"",E160-D160+1))</f>
        <v/>
      </c>
      <c r="N160" s="18">
        <f>IF(OR(B160="",C160="",D160="",E160=""),"",IF(COUNTIFS('Academic Terms'!$A$6:$A$101,B160,'Academic Terms'!$B$6:$B$101,C160)&lt;&gt;1,"Term not found",IF(OR(D160&lt;SUMIFS('Academic Terms'!$C$6:$C$101,'Academic Terms'!$A$6:$A$101,B160,'Academic Terms'!$B$6:$B$101,C160),E160&gt;SUMIFS('Academic Terms'!$D$6:$D$101,'Academic Terms'!$A$6:$A$101,B160,'Academic Terms'!$B$6:$B$101,C160)),"Yes","No")))</f>
        <v/>
      </c>
      <c r="O160" s="18">
        <f>IF(OR(A160="",B160="",D160="",E160="",J160="",K160="Cancelled"),"",IF(SUMPRODUCT(--($A$6:$A$205&lt;&gt;A160),--($B$6:$B$205=B160),--($J$6:$J$205=J160),--($D$6:$D$205&lt;=E160),--($E$6:$E$205&gt;=D160),--($K$6:$K$205&lt;&gt;"Cancelled"))&gt;0,"Yes","No"))</f>
        <v/>
      </c>
      <c r="P160" s="18">
        <f>IF(COUNTA(A160:L160)=0,"",IF(OR(A160="",B160="",C160="",D160="",E160="",F160="",G160="",K160=""),"Missing required fields",IF(COUNTIF($A$6:$A$205,A160)&gt;1,"Duplicate Event ID",IF(E160&lt;D160,"End date before start date",IF(N160="Term not found","Term not found",IF(N160="Yes","Outside term",IF(O160="Yes","Owner conflict",IF(AND(E160&lt;Dashboard!$B$4,K160&lt;&gt;"Completed",K160&lt;&gt;"Cancelled"),"Past event not completed",""))))))))</f>
        <v/>
      </c>
    </row>
    <row r="161">
      <c r="A161" s="16" t="n"/>
      <c r="B161" s="16" t="n"/>
      <c r="C161" s="16" t="n"/>
      <c r="D161" s="26" t="n"/>
      <c r="E161" s="26" t="n"/>
      <c r="F161" s="16" t="n"/>
      <c r="G161" s="16" t="n"/>
      <c r="H161" s="16" t="n"/>
      <c r="I161" s="16" t="n"/>
      <c r="J161" s="16" t="n"/>
      <c r="K161" s="16" t="n"/>
      <c r="L161" s="16" t="n"/>
      <c r="M161" s="18">
        <f>IF(OR(D161="",E161=""),"",IF(E161&lt;D161,"",E161-D161+1))</f>
        <v/>
      </c>
      <c r="N161" s="18">
        <f>IF(OR(B161="",C161="",D161="",E161=""),"",IF(COUNTIFS('Academic Terms'!$A$6:$A$101,B161,'Academic Terms'!$B$6:$B$101,C161)&lt;&gt;1,"Term not found",IF(OR(D161&lt;SUMIFS('Academic Terms'!$C$6:$C$101,'Academic Terms'!$A$6:$A$101,B161,'Academic Terms'!$B$6:$B$101,C161),E161&gt;SUMIFS('Academic Terms'!$D$6:$D$101,'Academic Terms'!$A$6:$A$101,B161,'Academic Terms'!$B$6:$B$101,C161)),"Yes","No")))</f>
        <v/>
      </c>
      <c r="O161" s="18">
        <f>IF(OR(A161="",B161="",D161="",E161="",J161="",K161="Cancelled"),"",IF(SUMPRODUCT(--($A$6:$A$205&lt;&gt;A161),--($B$6:$B$205=B161),--($J$6:$J$205=J161),--($D$6:$D$205&lt;=E161),--($E$6:$E$205&gt;=D161),--($K$6:$K$205&lt;&gt;"Cancelled"))&gt;0,"Yes","No"))</f>
        <v/>
      </c>
      <c r="P161" s="18">
        <f>IF(COUNTA(A161:L161)=0,"",IF(OR(A161="",B161="",C161="",D161="",E161="",F161="",G161="",K161=""),"Missing required fields",IF(COUNTIF($A$6:$A$205,A161)&gt;1,"Duplicate Event ID",IF(E161&lt;D161,"End date before start date",IF(N161="Term not found","Term not found",IF(N161="Yes","Outside term",IF(O161="Yes","Owner conflict",IF(AND(E161&lt;Dashboard!$B$4,K161&lt;&gt;"Completed",K161&lt;&gt;"Cancelled"),"Past event not completed",""))))))))</f>
        <v/>
      </c>
    </row>
    <row r="162">
      <c r="A162" s="16" t="n"/>
      <c r="B162" s="16" t="n"/>
      <c r="C162" s="16" t="n"/>
      <c r="D162" s="26" t="n"/>
      <c r="E162" s="26" t="n"/>
      <c r="F162" s="16" t="n"/>
      <c r="G162" s="16" t="n"/>
      <c r="H162" s="16" t="n"/>
      <c r="I162" s="16" t="n"/>
      <c r="J162" s="16" t="n"/>
      <c r="K162" s="16" t="n"/>
      <c r="L162" s="16" t="n"/>
      <c r="M162" s="18">
        <f>IF(OR(D162="",E162=""),"",IF(E162&lt;D162,"",E162-D162+1))</f>
        <v/>
      </c>
      <c r="N162" s="18">
        <f>IF(OR(B162="",C162="",D162="",E162=""),"",IF(COUNTIFS('Academic Terms'!$A$6:$A$101,B162,'Academic Terms'!$B$6:$B$101,C162)&lt;&gt;1,"Term not found",IF(OR(D162&lt;SUMIFS('Academic Terms'!$C$6:$C$101,'Academic Terms'!$A$6:$A$101,B162,'Academic Terms'!$B$6:$B$101,C162),E162&gt;SUMIFS('Academic Terms'!$D$6:$D$101,'Academic Terms'!$A$6:$A$101,B162,'Academic Terms'!$B$6:$B$101,C162)),"Yes","No")))</f>
        <v/>
      </c>
      <c r="O162" s="18">
        <f>IF(OR(A162="",B162="",D162="",E162="",J162="",K162="Cancelled"),"",IF(SUMPRODUCT(--($A$6:$A$205&lt;&gt;A162),--($B$6:$B$205=B162),--($J$6:$J$205=J162),--($D$6:$D$205&lt;=E162),--($E$6:$E$205&gt;=D162),--($K$6:$K$205&lt;&gt;"Cancelled"))&gt;0,"Yes","No"))</f>
        <v/>
      </c>
      <c r="P162" s="18">
        <f>IF(COUNTA(A162:L162)=0,"",IF(OR(A162="",B162="",C162="",D162="",E162="",F162="",G162="",K162=""),"Missing required fields",IF(COUNTIF($A$6:$A$205,A162)&gt;1,"Duplicate Event ID",IF(E162&lt;D162,"End date before start date",IF(N162="Term not found","Term not found",IF(N162="Yes","Outside term",IF(O162="Yes","Owner conflict",IF(AND(E162&lt;Dashboard!$B$4,K162&lt;&gt;"Completed",K162&lt;&gt;"Cancelled"),"Past event not completed",""))))))))</f>
        <v/>
      </c>
    </row>
    <row r="163">
      <c r="A163" s="16" t="n"/>
      <c r="B163" s="16" t="n"/>
      <c r="C163" s="16" t="n"/>
      <c r="D163" s="26" t="n"/>
      <c r="E163" s="26" t="n"/>
      <c r="F163" s="16" t="n"/>
      <c r="G163" s="16" t="n"/>
      <c r="H163" s="16" t="n"/>
      <c r="I163" s="16" t="n"/>
      <c r="J163" s="16" t="n"/>
      <c r="K163" s="16" t="n"/>
      <c r="L163" s="16" t="n"/>
      <c r="M163" s="18">
        <f>IF(OR(D163="",E163=""),"",IF(E163&lt;D163,"",E163-D163+1))</f>
        <v/>
      </c>
      <c r="N163" s="18">
        <f>IF(OR(B163="",C163="",D163="",E163=""),"",IF(COUNTIFS('Academic Terms'!$A$6:$A$101,B163,'Academic Terms'!$B$6:$B$101,C163)&lt;&gt;1,"Term not found",IF(OR(D163&lt;SUMIFS('Academic Terms'!$C$6:$C$101,'Academic Terms'!$A$6:$A$101,B163,'Academic Terms'!$B$6:$B$101,C163),E163&gt;SUMIFS('Academic Terms'!$D$6:$D$101,'Academic Terms'!$A$6:$A$101,B163,'Academic Terms'!$B$6:$B$101,C163)),"Yes","No")))</f>
        <v/>
      </c>
      <c r="O163" s="18">
        <f>IF(OR(A163="",B163="",D163="",E163="",J163="",K163="Cancelled"),"",IF(SUMPRODUCT(--($A$6:$A$205&lt;&gt;A163),--($B$6:$B$205=B163),--($J$6:$J$205=J163),--($D$6:$D$205&lt;=E163),--($E$6:$E$205&gt;=D163),--($K$6:$K$205&lt;&gt;"Cancelled"))&gt;0,"Yes","No"))</f>
        <v/>
      </c>
      <c r="P163" s="18">
        <f>IF(COUNTA(A163:L163)=0,"",IF(OR(A163="",B163="",C163="",D163="",E163="",F163="",G163="",K163=""),"Missing required fields",IF(COUNTIF($A$6:$A$205,A163)&gt;1,"Duplicate Event ID",IF(E163&lt;D163,"End date before start date",IF(N163="Term not found","Term not found",IF(N163="Yes","Outside term",IF(O163="Yes","Owner conflict",IF(AND(E163&lt;Dashboard!$B$4,K163&lt;&gt;"Completed",K163&lt;&gt;"Cancelled"),"Past event not completed",""))))))))</f>
        <v/>
      </c>
    </row>
    <row r="164">
      <c r="A164" s="16" t="n"/>
      <c r="B164" s="16" t="n"/>
      <c r="C164" s="16" t="n"/>
      <c r="D164" s="26" t="n"/>
      <c r="E164" s="26" t="n"/>
      <c r="F164" s="16" t="n"/>
      <c r="G164" s="16" t="n"/>
      <c r="H164" s="16" t="n"/>
      <c r="I164" s="16" t="n"/>
      <c r="J164" s="16" t="n"/>
      <c r="K164" s="16" t="n"/>
      <c r="L164" s="16" t="n"/>
      <c r="M164" s="18">
        <f>IF(OR(D164="",E164=""),"",IF(E164&lt;D164,"",E164-D164+1))</f>
        <v/>
      </c>
      <c r="N164" s="18">
        <f>IF(OR(B164="",C164="",D164="",E164=""),"",IF(COUNTIFS('Academic Terms'!$A$6:$A$101,B164,'Academic Terms'!$B$6:$B$101,C164)&lt;&gt;1,"Term not found",IF(OR(D164&lt;SUMIFS('Academic Terms'!$C$6:$C$101,'Academic Terms'!$A$6:$A$101,B164,'Academic Terms'!$B$6:$B$101,C164),E164&gt;SUMIFS('Academic Terms'!$D$6:$D$101,'Academic Terms'!$A$6:$A$101,B164,'Academic Terms'!$B$6:$B$101,C164)),"Yes","No")))</f>
        <v/>
      </c>
      <c r="O164" s="18">
        <f>IF(OR(A164="",B164="",D164="",E164="",J164="",K164="Cancelled"),"",IF(SUMPRODUCT(--($A$6:$A$205&lt;&gt;A164),--($B$6:$B$205=B164),--($J$6:$J$205=J164),--($D$6:$D$205&lt;=E164),--($E$6:$E$205&gt;=D164),--($K$6:$K$205&lt;&gt;"Cancelled"))&gt;0,"Yes","No"))</f>
        <v/>
      </c>
      <c r="P164" s="18">
        <f>IF(COUNTA(A164:L164)=0,"",IF(OR(A164="",B164="",C164="",D164="",E164="",F164="",G164="",K164=""),"Missing required fields",IF(COUNTIF($A$6:$A$205,A164)&gt;1,"Duplicate Event ID",IF(E164&lt;D164,"End date before start date",IF(N164="Term not found","Term not found",IF(N164="Yes","Outside term",IF(O164="Yes","Owner conflict",IF(AND(E164&lt;Dashboard!$B$4,K164&lt;&gt;"Completed",K164&lt;&gt;"Cancelled"),"Past event not completed",""))))))))</f>
        <v/>
      </c>
    </row>
    <row r="165">
      <c r="A165" s="16" t="n"/>
      <c r="B165" s="16" t="n"/>
      <c r="C165" s="16" t="n"/>
      <c r="D165" s="26" t="n"/>
      <c r="E165" s="26" t="n"/>
      <c r="F165" s="16" t="n"/>
      <c r="G165" s="16" t="n"/>
      <c r="H165" s="16" t="n"/>
      <c r="I165" s="16" t="n"/>
      <c r="J165" s="16" t="n"/>
      <c r="K165" s="16" t="n"/>
      <c r="L165" s="16" t="n"/>
      <c r="M165" s="18">
        <f>IF(OR(D165="",E165=""),"",IF(E165&lt;D165,"",E165-D165+1))</f>
        <v/>
      </c>
      <c r="N165" s="18">
        <f>IF(OR(B165="",C165="",D165="",E165=""),"",IF(COUNTIFS('Academic Terms'!$A$6:$A$101,B165,'Academic Terms'!$B$6:$B$101,C165)&lt;&gt;1,"Term not found",IF(OR(D165&lt;SUMIFS('Academic Terms'!$C$6:$C$101,'Academic Terms'!$A$6:$A$101,B165,'Academic Terms'!$B$6:$B$101,C165),E165&gt;SUMIFS('Academic Terms'!$D$6:$D$101,'Academic Terms'!$A$6:$A$101,B165,'Academic Terms'!$B$6:$B$101,C165)),"Yes","No")))</f>
        <v/>
      </c>
      <c r="O165" s="18">
        <f>IF(OR(A165="",B165="",D165="",E165="",J165="",K165="Cancelled"),"",IF(SUMPRODUCT(--($A$6:$A$205&lt;&gt;A165),--($B$6:$B$205=B165),--($J$6:$J$205=J165),--($D$6:$D$205&lt;=E165),--($E$6:$E$205&gt;=D165),--($K$6:$K$205&lt;&gt;"Cancelled"))&gt;0,"Yes","No"))</f>
        <v/>
      </c>
      <c r="P165" s="18">
        <f>IF(COUNTA(A165:L165)=0,"",IF(OR(A165="",B165="",C165="",D165="",E165="",F165="",G165="",K165=""),"Missing required fields",IF(COUNTIF($A$6:$A$205,A165)&gt;1,"Duplicate Event ID",IF(E165&lt;D165,"End date before start date",IF(N165="Term not found","Term not found",IF(N165="Yes","Outside term",IF(O165="Yes","Owner conflict",IF(AND(E165&lt;Dashboard!$B$4,K165&lt;&gt;"Completed",K165&lt;&gt;"Cancelled"),"Past event not completed",""))))))))</f>
        <v/>
      </c>
    </row>
    <row r="166">
      <c r="A166" s="16" t="n"/>
      <c r="B166" s="16" t="n"/>
      <c r="C166" s="16" t="n"/>
      <c r="D166" s="26" t="n"/>
      <c r="E166" s="26" t="n"/>
      <c r="F166" s="16" t="n"/>
      <c r="G166" s="16" t="n"/>
      <c r="H166" s="16" t="n"/>
      <c r="I166" s="16" t="n"/>
      <c r="J166" s="16" t="n"/>
      <c r="K166" s="16" t="n"/>
      <c r="L166" s="16" t="n"/>
      <c r="M166" s="18">
        <f>IF(OR(D166="",E166=""),"",IF(E166&lt;D166,"",E166-D166+1))</f>
        <v/>
      </c>
      <c r="N166" s="18">
        <f>IF(OR(B166="",C166="",D166="",E166=""),"",IF(COUNTIFS('Academic Terms'!$A$6:$A$101,B166,'Academic Terms'!$B$6:$B$101,C166)&lt;&gt;1,"Term not found",IF(OR(D166&lt;SUMIFS('Academic Terms'!$C$6:$C$101,'Academic Terms'!$A$6:$A$101,B166,'Academic Terms'!$B$6:$B$101,C166),E166&gt;SUMIFS('Academic Terms'!$D$6:$D$101,'Academic Terms'!$A$6:$A$101,B166,'Academic Terms'!$B$6:$B$101,C166)),"Yes","No")))</f>
        <v/>
      </c>
      <c r="O166" s="18">
        <f>IF(OR(A166="",B166="",D166="",E166="",J166="",K166="Cancelled"),"",IF(SUMPRODUCT(--($A$6:$A$205&lt;&gt;A166),--($B$6:$B$205=B166),--($J$6:$J$205=J166),--($D$6:$D$205&lt;=E166),--($E$6:$E$205&gt;=D166),--($K$6:$K$205&lt;&gt;"Cancelled"))&gt;0,"Yes","No"))</f>
        <v/>
      </c>
      <c r="P166" s="18">
        <f>IF(COUNTA(A166:L166)=0,"",IF(OR(A166="",B166="",C166="",D166="",E166="",F166="",G166="",K166=""),"Missing required fields",IF(COUNTIF($A$6:$A$205,A166)&gt;1,"Duplicate Event ID",IF(E166&lt;D166,"End date before start date",IF(N166="Term not found","Term not found",IF(N166="Yes","Outside term",IF(O166="Yes","Owner conflict",IF(AND(E166&lt;Dashboard!$B$4,K166&lt;&gt;"Completed",K166&lt;&gt;"Cancelled"),"Past event not completed",""))))))))</f>
        <v/>
      </c>
    </row>
    <row r="167">
      <c r="A167" s="16" t="n"/>
      <c r="B167" s="16" t="n"/>
      <c r="C167" s="16" t="n"/>
      <c r="D167" s="26" t="n"/>
      <c r="E167" s="26" t="n"/>
      <c r="F167" s="16" t="n"/>
      <c r="G167" s="16" t="n"/>
      <c r="H167" s="16" t="n"/>
      <c r="I167" s="16" t="n"/>
      <c r="J167" s="16" t="n"/>
      <c r="K167" s="16" t="n"/>
      <c r="L167" s="16" t="n"/>
      <c r="M167" s="18">
        <f>IF(OR(D167="",E167=""),"",IF(E167&lt;D167,"",E167-D167+1))</f>
        <v/>
      </c>
      <c r="N167" s="18">
        <f>IF(OR(B167="",C167="",D167="",E167=""),"",IF(COUNTIFS('Academic Terms'!$A$6:$A$101,B167,'Academic Terms'!$B$6:$B$101,C167)&lt;&gt;1,"Term not found",IF(OR(D167&lt;SUMIFS('Academic Terms'!$C$6:$C$101,'Academic Terms'!$A$6:$A$101,B167,'Academic Terms'!$B$6:$B$101,C167),E167&gt;SUMIFS('Academic Terms'!$D$6:$D$101,'Academic Terms'!$A$6:$A$101,B167,'Academic Terms'!$B$6:$B$101,C167)),"Yes","No")))</f>
        <v/>
      </c>
      <c r="O167" s="18">
        <f>IF(OR(A167="",B167="",D167="",E167="",J167="",K167="Cancelled"),"",IF(SUMPRODUCT(--($A$6:$A$205&lt;&gt;A167),--($B$6:$B$205=B167),--($J$6:$J$205=J167),--($D$6:$D$205&lt;=E167),--($E$6:$E$205&gt;=D167),--($K$6:$K$205&lt;&gt;"Cancelled"))&gt;0,"Yes","No"))</f>
        <v/>
      </c>
      <c r="P167" s="18">
        <f>IF(COUNTA(A167:L167)=0,"",IF(OR(A167="",B167="",C167="",D167="",E167="",F167="",G167="",K167=""),"Missing required fields",IF(COUNTIF($A$6:$A$205,A167)&gt;1,"Duplicate Event ID",IF(E167&lt;D167,"End date before start date",IF(N167="Term not found","Term not found",IF(N167="Yes","Outside term",IF(O167="Yes","Owner conflict",IF(AND(E167&lt;Dashboard!$B$4,K167&lt;&gt;"Completed",K167&lt;&gt;"Cancelled"),"Past event not completed",""))))))))</f>
        <v/>
      </c>
    </row>
    <row r="168">
      <c r="A168" s="16" t="n"/>
      <c r="B168" s="16" t="n"/>
      <c r="C168" s="16" t="n"/>
      <c r="D168" s="26" t="n"/>
      <c r="E168" s="26" t="n"/>
      <c r="F168" s="16" t="n"/>
      <c r="G168" s="16" t="n"/>
      <c r="H168" s="16" t="n"/>
      <c r="I168" s="16" t="n"/>
      <c r="J168" s="16" t="n"/>
      <c r="K168" s="16" t="n"/>
      <c r="L168" s="16" t="n"/>
      <c r="M168" s="18">
        <f>IF(OR(D168="",E168=""),"",IF(E168&lt;D168,"",E168-D168+1))</f>
        <v/>
      </c>
      <c r="N168" s="18">
        <f>IF(OR(B168="",C168="",D168="",E168=""),"",IF(COUNTIFS('Academic Terms'!$A$6:$A$101,B168,'Academic Terms'!$B$6:$B$101,C168)&lt;&gt;1,"Term not found",IF(OR(D168&lt;SUMIFS('Academic Terms'!$C$6:$C$101,'Academic Terms'!$A$6:$A$101,B168,'Academic Terms'!$B$6:$B$101,C168),E168&gt;SUMIFS('Academic Terms'!$D$6:$D$101,'Academic Terms'!$A$6:$A$101,B168,'Academic Terms'!$B$6:$B$101,C168)),"Yes","No")))</f>
        <v/>
      </c>
      <c r="O168" s="18">
        <f>IF(OR(A168="",B168="",D168="",E168="",J168="",K168="Cancelled"),"",IF(SUMPRODUCT(--($A$6:$A$205&lt;&gt;A168),--($B$6:$B$205=B168),--($J$6:$J$205=J168),--($D$6:$D$205&lt;=E168),--($E$6:$E$205&gt;=D168),--($K$6:$K$205&lt;&gt;"Cancelled"))&gt;0,"Yes","No"))</f>
        <v/>
      </c>
      <c r="P168" s="18">
        <f>IF(COUNTA(A168:L168)=0,"",IF(OR(A168="",B168="",C168="",D168="",E168="",F168="",G168="",K168=""),"Missing required fields",IF(COUNTIF($A$6:$A$205,A168)&gt;1,"Duplicate Event ID",IF(E168&lt;D168,"End date before start date",IF(N168="Term not found","Term not found",IF(N168="Yes","Outside term",IF(O168="Yes","Owner conflict",IF(AND(E168&lt;Dashboard!$B$4,K168&lt;&gt;"Completed",K168&lt;&gt;"Cancelled"),"Past event not completed",""))))))))</f>
        <v/>
      </c>
    </row>
    <row r="169">
      <c r="A169" s="16" t="n"/>
      <c r="B169" s="16" t="n"/>
      <c r="C169" s="16" t="n"/>
      <c r="D169" s="26" t="n"/>
      <c r="E169" s="26" t="n"/>
      <c r="F169" s="16" t="n"/>
      <c r="G169" s="16" t="n"/>
      <c r="H169" s="16" t="n"/>
      <c r="I169" s="16" t="n"/>
      <c r="J169" s="16" t="n"/>
      <c r="K169" s="16" t="n"/>
      <c r="L169" s="16" t="n"/>
      <c r="M169" s="18">
        <f>IF(OR(D169="",E169=""),"",IF(E169&lt;D169,"",E169-D169+1))</f>
        <v/>
      </c>
      <c r="N169" s="18">
        <f>IF(OR(B169="",C169="",D169="",E169=""),"",IF(COUNTIFS('Academic Terms'!$A$6:$A$101,B169,'Academic Terms'!$B$6:$B$101,C169)&lt;&gt;1,"Term not found",IF(OR(D169&lt;SUMIFS('Academic Terms'!$C$6:$C$101,'Academic Terms'!$A$6:$A$101,B169,'Academic Terms'!$B$6:$B$101,C169),E169&gt;SUMIFS('Academic Terms'!$D$6:$D$101,'Academic Terms'!$A$6:$A$101,B169,'Academic Terms'!$B$6:$B$101,C169)),"Yes","No")))</f>
        <v/>
      </c>
      <c r="O169" s="18">
        <f>IF(OR(A169="",B169="",D169="",E169="",J169="",K169="Cancelled"),"",IF(SUMPRODUCT(--($A$6:$A$205&lt;&gt;A169),--($B$6:$B$205=B169),--($J$6:$J$205=J169),--($D$6:$D$205&lt;=E169),--($E$6:$E$205&gt;=D169),--($K$6:$K$205&lt;&gt;"Cancelled"))&gt;0,"Yes","No"))</f>
        <v/>
      </c>
      <c r="P169" s="18">
        <f>IF(COUNTA(A169:L169)=0,"",IF(OR(A169="",B169="",C169="",D169="",E169="",F169="",G169="",K169=""),"Missing required fields",IF(COUNTIF($A$6:$A$205,A169)&gt;1,"Duplicate Event ID",IF(E169&lt;D169,"End date before start date",IF(N169="Term not found","Term not found",IF(N169="Yes","Outside term",IF(O169="Yes","Owner conflict",IF(AND(E169&lt;Dashboard!$B$4,K169&lt;&gt;"Completed",K169&lt;&gt;"Cancelled"),"Past event not completed",""))))))))</f>
        <v/>
      </c>
    </row>
    <row r="170">
      <c r="A170" s="16" t="n"/>
      <c r="B170" s="16" t="n"/>
      <c r="C170" s="16" t="n"/>
      <c r="D170" s="26" t="n"/>
      <c r="E170" s="26" t="n"/>
      <c r="F170" s="16" t="n"/>
      <c r="G170" s="16" t="n"/>
      <c r="H170" s="16" t="n"/>
      <c r="I170" s="16" t="n"/>
      <c r="J170" s="16" t="n"/>
      <c r="K170" s="16" t="n"/>
      <c r="L170" s="16" t="n"/>
      <c r="M170" s="18">
        <f>IF(OR(D170="",E170=""),"",IF(E170&lt;D170,"",E170-D170+1))</f>
        <v/>
      </c>
      <c r="N170" s="18">
        <f>IF(OR(B170="",C170="",D170="",E170=""),"",IF(COUNTIFS('Academic Terms'!$A$6:$A$101,B170,'Academic Terms'!$B$6:$B$101,C170)&lt;&gt;1,"Term not found",IF(OR(D170&lt;SUMIFS('Academic Terms'!$C$6:$C$101,'Academic Terms'!$A$6:$A$101,B170,'Academic Terms'!$B$6:$B$101,C170),E170&gt;SUMIFS('Academic Terms'!$D$6:$D$101,'Academic Terms'!$A$6:$A$101,B170,'Academic Terms'!$B$6:$B$101,C170)),"Yes","No")))</f>
        <v/>
      </c>
      <c r="O170" s="18">
        <f>IF(OR(A170="",B170="",D170="",E170="",J170="",K170="Cancelled"),"",IF(SUMPRODUCT(--($A$6:$A$205&lt;&gt;A170),--($B$6:$B$205=B170),--($J$6:$J$205=J170),--($D$6:$D$205&lt;=E170),--($E$6:$E$205&gt;=D170),--($K$6:$K$205&lt;&gt;"Cancelled"))&gt;0,"Yes","No"))</f>
        <v/>
      </c>
      <c r="P170" s="18">
        <f>IF(COUNTA(A170:L170)=0,"",IF(OR(A170="",B170="",C170="",D170="",E170="",F170="",G170="",K170=""),"Missing required fields",IF(COUNTIF($A$6:$A$205,A170)&gt;1,"Duplicate Event ID",IF(E170&lt;D170,"End date before start date",IF(N170="Term not found","Term not found",IF(N170="Yes","Outside term",IF(O170="Yes","Owner conflict",IF(AND(E170&lt;Dashboard!$B$4,K170&lt;&gt;"Completed",K170&lt;&gt;"Cancelled"),"Past event not completed",""))))))))</f>
        <v/>
      </c>
    </row>
    <row r="171">
      <c r="A171" s="16" t="n"/>
      <c r="B171" s="16" t="n"/>
      <c r="C171" s="16" t="n"/>
      <c r="D171" s="26" t="n"/>
      <c r="E171" s="26" t="n"/>
      <c r="F171" s="16" t="n"/>
      <c r="G171" s="16" t="n"/>
      <c r="H171" s="16" t="n"/>
      <c r="I171" s="16" t="n"/>
      <c r="J171" s="16" t="n"/>
      <c r="K171" s="16" t="n"/>
      <c r="L171" s="16" t="n"/>
      <c r="M171" s="18">
        <f>IF(OR(D171="",E171=""),"",IF(E171&lt;D171,"",E171-D171+1))</f>
        <v/>
      </c>
      <c r="N171" s="18">
        <f>IF(OR(B171="",C171="",D171="",E171=""),"",IF(COUNTIFS('Academic Terms'!$A$6:$A$101,B171,'Academic Terms'!$B$6:$B$101,C171)&lt;&gt;1,"Term not found",IF(OR(D171&lt;SUMIFS('Academic Terms'!$C$6:$C$101,'Academic Terms'!$A$6:$A$101,B171,'Academic Terms'!$B$6:$B$101,C171),E171&gt;SUMIFS('Academic Terms'!$D$6:$D$101,'Academic Terms'!$A$6:$A$101,B171,'Academic Terms'!$B$6:$B$101,C171)),"Yes","No")))</f>
        <v/>
      </c>
      <c r="O171" s="18">
        <f>IF(OR(A171="",B171="",D171="",E171="",J171="",K171="Cancelled"),"",IF(SUMPRODUCT(--($A$6:$A$205&lt;&gt;A171),--($B$6:$B$205=B171),--($J$6:$J$205=J171),--($D$6:$D$205&lt;=E171),--($E$6:$E$205&gt;=D171),--($K$6:$K$205&lt;&gt;"Cancelled"))&gt;0,"Yes","No"))</f>
        <v/>
      </c>
      <c r="P171" s="18">
        <f>IF(COUNTA(A171:L171)=0,"",IF(OR(A171="",B171="",C171="",D171="",E171="",F171="",G171="",K171=""),"Missing required fields",IF(COUNTIF($A$6:$A$205,A171)&gt;1,"Duplicate Event ID",IF(E171&lt;D171,"End date before start date",IF(N171="Term not found","Term not found",IF(N171="Yes","Outside term",IF(O171="Yes","Owner conflict",IF(AND(E171&lt;Dashboard!$B$4,K171&lt;&gt;"Completed",K171&lt;&gt;"Cancelled"),"Past event not completed",""))))))))</f>
        <v/>
      </c>
    </row>
    <row r="172">
      <c r="A172" s="16" t="n"/>
      <c r="B172" s="16" t="n"/>
      <c r="C172" s="16" t="n"/>
      <c r="D172" s="26" t="n"/>
      <c r="E172" s="26" t="n"/>
      <c r="F172" s="16" t="n"/>
      <c r="G172" s="16" t="n"/>
      <c r="H172" s="16" t="n"/>
      <c r="I172" s="16" t="n"/>
      <c r="J172" s="16" t="n"/>
      <c r="K172" s="16" t="n"/>
      <c r="L172" s="16" t="n"/>
      <c r="M172" s="18">
        <f>IF(OR(D172="",E172=""),"",IF(E172&lt;D172,"",E172-D172+1))</f>
        <v/>
      </c>
      <c r="N172" s="18">
        <f>IF(OR(B172="",C172="",D172="",E172=""),"",IF(COUNTIFS('Academic Terms'!$A$6:$A$101,B172,'Academic Terms'!$B$6:$B$101,C172)&lt;&gt;1,"Term not found",IF(OR(D172&lt;SUMIFS('Academic Terms'!$C$6:$C$101,'Academic Terms'!$A$6:$A$101,B172,'Academic Terms'!$B$6:$B$101,C172),E172&gt;SUMIFS('Academic Terms'!$D$6:$D$101,'Academic Terms'!$A$6:$A$101,B172,'Academic Terms'!$B$6:$B$101,C172)),"Yes","No")))</f>
        <v/>
      </c>
      <c r="O172" s="18">
        <f>IF(OR(A172="",B172="",D172="",E172="",J172="",K172="Cancelled"),"",IF(SUMPRODUCT(--($A$6:$A$205&lt;&gt;A172),--($B$6:$B$205=B172),--($J$6:$J$205=J172),--($D$6:$D$205&lt;=E172),--($E$6:$E$205&gt;=D172),--($K$6:$K$205&lt;&gt;"Cancelled"))&gt;0,"Yes","No"))</f>
        <v/>
      </c>
      <c r="P172" s="18">
        <f>IF(COUNTA(A172:L172)=0,"",IF(OR(A172="",B172="",C172="",D172="",E172="",F172="",G172="",K172=""),"Missing required fields",IF(COUNTIF($A$6:$A$205,A172)&gt;1,"Duplicate Event ID",IF(E172&lt;D172,"End date before start date",IF(N172="Term not found","Term not found",IF(N172="Yes","Outside term",IF(O172="Yes","Owner conflict",IF(AND(E172&lt;Dashboard!$B$4,K172&lt;&gt;"Completed",K172&lt;&gt;"Cancelled"),"Past event not completed",""))))))))</f>
        <v/>
      </c>
    </row>
    <row r="173">
      <c r="A173" s="16" t="n"/>
      <c r="B173" s="16" t="n"/>
      <c r="C173" s="16" t="n"/>
      <c r="D173" s="26" t="n"/>
      <c r="E173" s="26" t="n"/>
      <c r="F173" s="16" t="n"/>
      <c r="G173" s="16" t="n"/>
      <c r="H173" s="16" t="n"/>
      <c r="I173" s="16" t="n"/>
      <c r="J173" s="16" t="n"/>
      <c r="K173" s="16" t="n"/>
      <c r="L173" s="16" t="n"/>
      <c r="M173" s="18">
        <f>IF(OR(D173="",E173=""),"",IF(E173&lt;D173,"",E173-D173+1))</f>
        <v/>
      </c>
      <c r="N173" s="18">
        <f>IF(OR(B173="",C173="",D173="",E173=""),"",IF(COUNTIFS('Academic Terms'!$A$6:$A$101,B173,'Academic Terms'!$B$6:$B$101,C173)&lt;&gt;1,"Term not found",IF(OR(D173&lt;SUMIFS('Academic Terms'!$C$6:$C$101,'Academic Terms'!$A$6:$A$101,B173,'Academic Terms'!$B$6:$B$101,C173),E173&gt;SUMIFS('Academic Terms'!$D$6:$D$101,'Academic Terms'!$A$6:$A$101,B173,'Academic Terms'!$B$6:$B$101,C173)),"Yes","No")))</f>
        <v/>
      </c>
      <c r="O173" s="18">
        <f>IF(OR(A173="",B173="",D173="",E173="",J173="",K173="Cancelled"),"",IF(SUMPRODUCT(--($A$6:$A$205&lt;&gt;A173),--($B$6:$B$205=B173),--($J$6:$J$205=J173),--($D$6:$D$205&lt;=E173),--($E$6:$E$205&gt;=D173),--($K$6:$K$205&lt;&gt;"Cancelled"))&gt;0,"Yes","No"))</f>
        <v/>
      </c>
      <c r="P173" s="18">
        <f>IF(COUNTA(A173:L173)=0,"",IF(OR(A173="",B173="",C173="",D173="",E173="",F173="",G173="",K173=""),"Missing required fields",IF(COUNTIF($A$6:$A$205,A173)&gt;1,"Duplicate Event ID",IF(E173&lt;D173,"End date before start date",IF(N173="Term not found","Term not found",IF(N173="Yes","Outside term",IF(O173="Yes","Owner conflict",IF(AND(E173&lt;Dashboard!$B$4,K173&lt;&gt;"Completed",K173&lt;&gt;"Cancelled"),"Past event not completed",""))))))))</f>
        <v/>
      </c>
    </row>
    <row r="174">
      <c r="A174" s="16" t="n"/>
      <c r="B174" s="16" t="n"/>
      <c r="C174" s="16" t="n"/>
      <c r="D174" s="26" t="n"/>
      <c r="E174" s="26" t="n"/>
      <c r="F174" s="16" t="n"/>
      <c r="G174" s="16" t="n"/>
      <c r="H174" s="16" t="n"/>
      <c r="I174" s="16" t="n"/>
      <c r="J174" s="16" t="n"/>
      <c r="K174" s="16" t="n"/>
      <c r="L174" s="16" t="n"/>
      <c r="M174" s="18">
        <f>IF(OR(D174="",E174=""),"",IF(E174&lt;D174,"",E174-D174+1))</f>
        <v/>
      </c>
      <c r="N174" s="18">
        <f>IF(OR(B174="",C174="",D174="",E174=""),"",IF(COUNTIFS('Academic Terms'!$A$6:$A$101,B174,'Academic Terms'!$B$6:$B$101,C174)&lt;&gt;1,"Term not found",IF(OR(D174&lt;SUMIFS('Academic Terms'!$C$6:$C$101,'Academic Terms'!$A$6:$A$101,B174,'Academic Terms'!$B$6:$B$101,C174),E174&gt;SUMIFS('Academic Terms'!$D$6:$D$101,'Academic Terms'!$A$6:$A$101,B174,'Academic Terms'!$B$6:$B$101,C174)),"Yes","No")))</f>
        <v/>
      </c>
      <c r="O174" s="18">
        <f>IF(OR(A174="",B174="",D174="",E174="",J174="",K174="Cancelled"),"",IF(SUMPRODUCT(--($A$6:$A$205&lt;&gt;A174),--($B$6:$B$205=B174),--($J$6:$J$205=J174),--($D$6:$D$205&lt;=E174),--($E$6:$E$205&gt;=D174),--($K$6:$K$205&lt;&gt;"Cancelled"))&gt;0,"Yes","No"))</f>
        <v/>
      </c>
      <c r="P174" s="18">
        <f>IF(COUNTA(A174:L174)=0,"",IF(OR(A174="",B174="",C174="",D174="",E174="",F174="",G174="",K174=""),"Missing required fields",IF(COUNTIF($A$6:$A$205,A174)&gt;1,"Duplicate Event ID",IF(E174&lt;D174,"End date before start date",IF(N174="Term not found","Term not found",IF(N174="Yes","Outside term",IF(O174="Yes","Owner conflict",IF(AND(E174&lt;Dashboard!$B$4,K174&lt;&gt;"Completed",K174&lt;&gt;"Cancelled"),"Past event not completed",""))))))))</f>
        <v/>
      </c>
    </row>
    <row r="175">
      <c r="A175" s="16" t="n"/>
      <c r="B175" s="16" t="n"/>
      <c r="C175" s="16" t="n"/>
      <c r="D175" s="26" t="n"/>
      <c r="E175" s="26" t="n"/>
      <c r="F175" s="16" t="n"/>
      <c r="G175" s="16" t="n"/>
      <c r="H175" s="16" t="n"/>
      <c r="I175" s="16" t="n"/>
      <c r="J175" s="16" t="n"/>
      <c r="K175" s="16" t="n"/>
      <c r="L175" s="16" t="n"/>
      <c r="M175" s="18">
        <f>IF(OR(D175="",E175=""),"",IF(E175&lt;D175,"",E175-D175+1))</f>
        <v/>
      </c>
      <c r="N175" s="18">
        <f>IF(OR(B175="",C175="",D175="",E175=""),"",IF(COUNTIFS('Academic Terms'!$A$6:$A$101,B175,'Academic Terms'!$B$6:$B$101,C175)&lt;&gt;1,"Term not found",IF(OR(D175&lt;SUMIFS('Academic Terms'!$C$6:$C$101,'Academic Terms'!$A$6:$A$101,B175,'Academic Terms'!$B$6:$B$101,C175),E175&gt;SUMIFS('Academic Terms'!$D$6:$D$101,'Academic Terms'!$A$6:$A$101,B175,'Academic Terms'!$B$6:$B$101,C175)),"Yes","No")))</f>
        <v/>
      </c>
      <c r="O175" s="18">
        <f>IF(OR(A175="",B175="",D175="",E175="",J175="",K175="Cancelled"),"",IF(SUMPRODUCT(--($A$6:$A$205&lt;&gt;A175),--($B$6:$B$205=B175),--($J$6:$J$205=J175),--($D$6:$D$205&lt;=E175),--($E$6:$E$205&gt;=D175),--($K$6:$K$205&lt;&gt;"Cancelled"))&gt;0,"Yes","No"))</f>
        <v/>
      </c>
      <c r="P175" s="18">
        <f>IF(COUNTA(A175:L175)=0,"",IF(OR(A175="",B175="",C175="",D175="",E175="",F175="",G175="",K175=""),"Missing required fields",IF(COUNTIF($A$6:$A$205,A175)&gt;1,"Duplicate Event ID",IF(E175&lt;D175,"End date before start date",IF(N175="Term not found","Term not found",IF(N175="Yes","Outside term",IF(O175="Yes","Owner conflict",IF(AND(E175&lt;Dashboard!$B$4,K175&lt;&gt;"Completed",K175&lt;&gt;"Cancelled"),"Past event not completed",""))))))))</f>
        <v/>
      </c>
    </row>
    <row r="176">
      <c r="A176" s="16" t="n"/>
      <c r="B176" s="16" t="n"/>
      <c r="C176" s="16" t="n"/>
      <c r="D176" s="26" t="n"/>
      <c r="E176" s="26" t="n"/>
      <c r="F176" s="16" t="n"/>
      <c r="G176" s="16" t="n"/>
      <c r="H176" s="16" t="n"/>
      <c r="I176" s="16" t="n"/>
      <c r="J176" s="16" t="n"/>
      <c r="K176" s="16" t="n"/>
      <c r="L176" s="16" t="n"/>
      <c r="M176" s="18">
        <f>IF(OR(D176="",E176=""),"",IF(E176&lt;D176,"",E176-D176+1))</f>
        <v/>
      </c>
      <c r="N176" s="18">
        <f>IF(OR(B176="",C176="",D176="",E176=""),"",IF(COUNTIFS('Academic Terms'!$A$6:$A$101,B176,'Academic Terms'!$B$6:$B$101,C176)&lt;&gt;1,"Term not found",IF(OR(D176&lt;SUMIFS('Academic Terms'!$C$6:$C$101,'Academic Terms'!$A$6:$A$101,B176,'Academic Terms'!$B$6:$B$101,C176),E176&gt;SUMIFS('Academic Terms'!$D$6:$D$101,'Academic Terms'!$A$6:$A$101,B176,'Academic Terms'!$B$6:$B$101,C176)),"Yes","No")))</f>
        <v/>
      </c>
      <c r="O176" s="18">
        <f>IF(OR(A176="",B176="",D176="",E176="",J176="",K176="Cancelled"),"",IF(SUMPRODUCT(--($A$6:$A$205&lt;&gt;A176),--($B$6:$B$205=B176),--($J$6:$J$205=J176),--($D$6:$D$205&lt;=E176),--($E$6:$E$205&gt;=D176),--($K$6:$K$205&lt;&gt;"Cancelled"))&gt;0,"Yes","No"))</f>
        <v/>
      </c>
      <c r="P176" s="18">
        <f>IF(COUNTA(A176:L176)=0,"",IF(OR(A176="",B176="",C176="",D176="",E176="",F176="",G176="",K176=""),"Missing required fields",IF(COUNTIF($A$6:$A$205,A176)&gt;1,"Duplicate Event ID",IF(E176&lt;D176,"End date before start date",IF(N176="Term not found","Term not found",IF(N176="Yes","Outside term",IF(O176="Yes","Owner conflict",IF(AND(E176&lt;Dashboard!$B$4,K176&lt;&gt;"Completed",K176&lt;&gt;"Cancelled"),"Past event not completed",""))))))))</f>
        <v/>
      </c>
    </row>
    <row r="177">
      <c r="A177" s="16" t="n"/>
      <c r="B177" s="16" t="n"/>
      <c r="C177" s="16" t="n"/>
      <c r="D177" s="26" t="n"/>
      <c r="E177" s="26" t="n"/>
      <c r="F177" s="16" t="n"/>
      <c r="G177" s="16" t="n"/>
      <c r="H177" s="16" t="n"/>
      <c r="I177" s="16" t="n"/>
      <c r="J177" s="16" t="n"/>
      <c r="K177" s="16" t="n"/>
      <c r="L177" s="16" t="n"/>
      <c r="M177" s="18">
        <f>IF(OR(D177="",E177=""),"",IF(E177&lt;D177,"",E177-D177+1))</f>
        <v/>
      </c>
      <c r="N177" s="18">
        <f>IF(OR(B177="",C177="",D177="",E177=""),"",IF(COUNTIFS('Academic Terms'!$A$6:$A$101,B177,'Academic Terms'!$B$6:$B$101,C177)&lt;&gt;1,"Term not found",IF(OR(D177&lt;SUMIFS('Academic Terms'!$C$6:$C$101,'Academic Terms'!$A$6:$A$101,B177,'Academic Terms'!$B$6:$B$101,C177),E177&gt;SUMIFS('Academic Terms'!$D$6:$D$101,'Academic Terms'!$A$6:$A$101,B177,'Academic Terms'!$B$6:$B$101,C177)),"Yes","No")))</f>
        <v/>
      </c>
      <c r="O177" s="18">
        <f>IF(OR(A177="",B177="",D177="",E177="",J177="",K177="Cancelled"),"",IF(SUMPRODUCT(--($A$6:$A$205&lt;&gt;A177),--($B$6:$B$205=B177),--($J$6:$J$205=J177),--($D$6:$D$205&lt;=E177),--($E$6:$E$205&gt;=D177),--($K$6:$K$205&lt;&gt;"Cancelled"))&gt;0,"Yes","No"))</f>
        <v/>
      </c>
      <c r="P177" s="18">
        <f>IF(COUNTA(A177:L177)=0,"",IF(OR(A177="",B177="",C177="",D177="",E177="",F177="",G177="",K177=""),"Missing required fields",IF(COUNTIF($A$6:$A$205,A177)&gt;1,"Duplicate Event ID",IF(E177&lt;D177,"End date before start date",IF(N177="Term not found","Term not found",IF(N177="Yes","Outside term",IF(O177="Yes","Owner conflict",IF(AND(E177&lt;Dashboard!$B$4,K177&lt;&gt;"Completed",K177&lt;&gt;"Cancelled"),"Past event not completed",""))))))))</f>
        <v/>
      </c>
    </row>
    <row r="178">
      <c r="A178" s="16" t="n"/>
      <c r="B178" s="16" t="n"/>
      <c r="C178" s="16" t="n"/>
      <c r="D178" s="26" t="n"/>
      <c r="E178" s="26" t="n"/>
      <c r="F178" s="16" t="n"/>
      <c r="G178" s="16" t="n"/>
      <c r="H178" s="16" t="n"/>
      <c r="I178" s="16" t="n"/>
      <c r="J178" s="16" t="n"/>
      <c r="K178" s="16" t="n"/>
      <c r="L178" s="16" t="n"/>
      <c r="M178" s="18">
        <f>IF(OR(D178="",E178=""),"",IF(E178&lt;D178,"",E178-D178+1))</f>
        <v/>
      </c>
      <c r="N178" s="18">
        <f>IF(OR(B178="",C178="",D178="",E178=""),"",IF(COUNTIFS('Academic Terms'!$A$6:$A$101,B178,'Academic Terms'!$B$6:$B$101,C178)&lt;&gt;1,"Term not found",IF(OR(D178&lt;SUMIFS('Academic Terms'!$C$6:$C$101,'Academic Terms'!$A$6:$A$101,B178,'Academic Terms'!$B$6:$B$101,C178),E178&gt;SUMIFS('Academic Terms'!$D$6:$D$101,'Academic Terms'!$A$6:$A$101,B178,'Academic Terms'!$B$6:$B$101,C178)),"Yes","No")))</f>
        <v/>
      </c>
      <c r="O178" s="18">
        <f>IF(OR(A178="",B178="",D178="",E178="",J178="",K178="Cancelled"),"",IF(SUMPRODUCT(--($A$6:$A$205&lt;&gt;A178),--($B$6:$B$205=B178),--($J$6:$J$205=J178),--($D$6:$D$205&lt;=E178),--($E$6:$E$205&gt;=D178),--($K$6:$K$205&lt;&gt;"Cancelled"))&gt;0,"Yes","No"))</f>
        <v/>
      </c>
      <c r="P178" s="18">
        <f>IF(COUNTA(A178:L178)=0,"",IF(OR(A178="",B178="",C178="",D178="",E178="",F178="",G178="",K178=""),"Missing required fields",IF(COUNTIF($A$6:$A$205,A178)&gt;1,"Duplicate Event ID",IF(E178&lt;D178,"End date before start date",IF(N178="Term not found","Term not found",IF(N178="Yes","Outside term",IF(O178="Yes","Owner conflict",IF(AND(E178&lt;Dashboard!$B$4,K178&lt;&gt;"Completed",K178&lt;&gt;"Cancelled"),"Past event not completed",""))))))))</f>
        <v/>
      </c>
    </row>
    <row r="179">
      <c r="A179" s="16" t="n"/>
      <c r="B179" s="16" t="n"/>
      <c r="C179" s="16" t="n"/>
      <c r="D179" s="26" t="n"/>
      <c r="E179" s="26" t="n"/>
      <c r="F179" s="16" t="n"/>
      <c r="G179" s="16" t="n"/>
      <c r="H179" s="16" t="n"/>
      <c r="I179" s="16" t="n"/>
      <c r="J179" s="16" t="n"/>
      <c r="K179" s="16" t="n"/>
      <c r="L179" s="16" t="n"/>
      <c r="M179" s="18">
        <f>IF(OR(D179="",E179=""),"",IF(E179&lt;D179,"",E179-D179+1))</f>
        <v/>
      </c>
      <c r="N179" s="18">
        <f>IF(OR(B179="",C179="",D179="",E179=""),"",IF(COUNTIFS('Academic Terms'!$A$6:$A$101,B179,'Academic Terms'!$B$6:$B$101,C179)&lt;&gt;1,"Term not found",IF(OR(D179&lt;SUMIFS('Academic Terms'!$C$6:$C$101,'Academic Terms'!$A$6:$A$101,B179,'Academic Terms'!$B$6:$B$101,C179),E179&gt;SUMIFS('Academic Terms'!$D$6:$D$101,'Academic Terms'!$A$6:$A$101,B179,'Academic Terms'!$B$6:$B$101,C179)),"Yes","No")))</f>
        <v/>
      </c>
      <c r="O179" s="18">
        <f>IF(OR(A179="",B179="",D179="",E179="",J179="",K179="Cancelled"),"",IF(SUMPRODUCT(--($A$6:$A$205&lt;&gt;A179),--($B$6:$B$205=B179),--($J$6:$J$205=J179),--($D$6:$D$205&lt;=E179),--($E$6:$E$205&gt;=D179),--($K$6:$K$205&lt;&gt;"Cancelled"))&gt;0,"Yes","No"))</f>
        <v/>
      </c>
      <c r="P179" s="18">
        <f>IF(COUNTA(A179:L179)=0,"",IF(OR(A179="",B179="",C179="",D179="",E179="",F179="",G179="",K179=""),"Missing required fields",IF(COUNTIF($A$6:$A$205,A179)&gt;1,"Duplicate Event ID",IF(E179&lt;D179,"End date before start date",IF(N179="Term not found","Term not found",IF(N179="Yes","Outside term",IF(O179="Yes","Owner conflict",IF(AND(E179&lt;Dashboard!$B$4,K179&lt;&gt;"Completed",K179&lt;&gt;"Cancelled"),"Past event not completed",""))))))))</f>
        <v/>
      </c>
    </row>
    <row r="180">
      <c r="A180" s="16" t="n"/>
      <c r="B180" s="16" t="n"/>
      <c r="C180" s="16" t="n"/>
      <c r="D180" s="26" t="n"/>
      <c r="E180" s="26" t="n"/>
      <c r="F180" s="16" t="n"/>
      <c r="G180" s="16" t="n"/>
      <c r="H180" s="16" t="n"/>
      <c r="I180" s="16" t="n"/>
      <c r="J180" s="16" t="n"/>
      <c r="K180" s="16" t="n"/>
      <c r="L180" s="16" t="n"/>
      <c r="M180" s="18">
        <f>IF(OR(D180="",E180=""),"",IF(E180&lt;D180,"",E180-D180+1))</f>
        <v/>
      </c>
      <c r="N180" s="18">
        <f>IF(OR(B180="",C180="",D180="",E180=""),"",IF(COUNTIFS('Academic Terms'!$A$6:$A$101,B180,'Academic Terms'!$B$6:$B$101,C180)&lt;&gt;1,"Term not found",IF(OR(D180&lt;SUMIFS('Academic Terms'!$C$6:$C$101,'Academic Terms'!$A$6:$A$101,B180,'Academic Terms'!$B$6:$B$101,C180),E180&gt;SUMIFS('Academic Terms'!$D$6:$D$101,'Academic Terms'!$A$6:$A$101,B180,'Academic Terms'!$B$6:$B$101,C180)),"Yes","No")))</f>
        <v/>
      </c>
      <c r="O180" s="18">
        <f>IF(OR(A180="",B180="",D180="",E180="",J180="",K180="Cancelled"),"",IF(SUMPRODUCT(--($A$6:$A$205&lt;&gt;A180),--($B$6:$B$205=B180),--($J$6:$J$205=J180),--($D$6:$D$205&lt;=E180),--($E$6:$E$205&gt;=D180),--($K$6:$K$205&lt;&gt;"Cancelled"))&gt;0,"Yes","No"))</f>
        <v/>
      </c>
      <c r="P180" s="18">
        <f>IF(COUNTA(A180:L180)=0,"",IF(OR(A180="",B180="",C180="",D180="",E180="",F180="",G180="",K180=""),"Missing required fields",IF(COUNTIF($A$6:$A$205,A180)&gt;1,"Duplicate Event ID",IF(E180&lt;D180,"End date before start date",IF(N180="Term not found","Term not found",IF(N180="Yes","Outside term",IF(O180="Yes","Owner conflict",IF(AND(E180&lt;Dashboard!$B$4,K180&lt;&gt;"Completed",K180&lt;&gt;"Cancelled"),"Past event not completed",""))))))))</f>
        <v/>
      </c>
    </row>
    <row r="181">
      <c r="A181" s="16" t="n"/>
      <c r="B181" s="16" t="n"/>
      <c r="C181" s="16" t="n"/>
      <c r="D181" s="26" t="n"/>
      <c r="E181" s="26" t="n"/>
      <c r="F181" s="16" t="n"/>
      <c r="G181" s="16" t="n"/>
      <c r="H181" s="16" t="n"/>
      <c r="I181" s="16" t="n"/>
      <c r="J181" s="16" t="n"/>
      <c r="K181" s="16" t="n"/>
      <c r="L181" s="16" t="n"/>
      <c r="M181" s="18">
        <f>IF(OR(D181="",E181=""),"",IF(E181&lt;D181,"",E181-D181+1))</f>
        <v/>
      </c>
      <c r="N181" s="18">
        <f>IF(OR(B181="",C181="",D181="",E181=""),"",IF(COUNTIFS('Academic Terms'!$A$6:$A$101,B181,'Academic Terms'!$B$6:$B$101,C181)&lt;&gt;1,"Term not found",IF(OR(D181&lt;SUMIFS('Academic Terms'!$C$6:$C$101,'Academic Terms'!$A$6:$A$101,B181,'Academic Terms'!$B$6:$B$101,C181),E181&gt;SUMIFS('Academic Terms'!$D$6:$D$101,'Academic Terms'!$A$6:$A$101,B181,'Academic Terms'!$B$6:$B$101,C181)),"Yes","No")))</f>
        <v/>
      </c>
      <c r="O181" s="18">
        <f>IF(OR(A181="",B181="",D181="",E181="",J181="",K181="Cancelled"),"",IF(SUMPRODUCT(--($A$6:$A$205&lt;&gt;A181),--($B$6:$B$205=B181),--($J$6:$J$205=J181),--($D$6:$D$205&lt;=E181),--($E$6:$E$205&gt;=D181),--($K$6:$K$205&lt;&gt;"Cancelled"))&gt;0,"Yes","No"))</f>
        <v/>
      </c>
      <c r="P181" s="18">
        <f>IF(COUNTA(A181:L181)=0,"",IF(OR(A181="",B181="",C181="",D181="",E181="",F181="",G181="",K181=""),"Missing required fields",IF(COUNTIF($A$6:$A$205,A181)&gt;1,"Duplicate Event ID",IF(E181&lt;D181,"End date before start date",IF(N181="Term not found","Term not found",IF(N181="Yes","Outside term",IF(O181="Yes","Owner conflict",IF(AND(E181&lt;Dashboard!$B$4,K181&lt;&gt;"Completed",K181&lt;&gt;"Cancelled"),"Past event not completed",""))))))))</f>
        <v/>
      </c>
    </row>
    <row r="182">
      <c r="A182" s="16" t="n"/>
      <c r="B182" s="16" t="n"/>
      <c r="C182" s="16" t="n"/>
      <c r="D182" s="26" t="n"/>
      <c r="E182" s="26" t="n"/>
      <c r="F182" s="16" t="n"/>
      <c r="G182" s="16" t="n"/>
      <c r="H182" s="16" t="n"/>
      <c r="I182" s="16" t="n"/>
      <c r="J182" s="16" t="n"/>
      <c r="K182" s="16" t="n"/>
      <c r="L182" s="16" t="n"/>
      <c r="M182" s="18">
        <f>IF(OR(D182="",E182=""),"",IF(E182&lt;D182,"",E182-D182+1))</f>
        <v/>
      </c>
      <c r="N182" s="18">
        <f>IF(OR(B182="",C182="",D182="",E182=""),"",IF(COUNTIFS('Academic Terms'!$A$6:$A$101,B182,'Academic Terms'!$B$6:$B$101,C182)&lt;&gt;1,"Term not found",IF(OR(D182&lt;SUMIFS('Academic Terms'!$C$6:$C$101,'Academic Terms'!$A$6:$A$101,B182,'Academic Terms'!$B$6:$B$101,C182),E182&gt;SUMIFS('Academic Terms'!$D$6:$D$101,'Academic Terms'!$A$6:$A$101,B182,'Academic Terms'!$B$6:$B$101,C182)),"Yes","No")))</f>
        <v/>
      </c>
      <c r="O182" s="18">
        <f>IF(OR(A182="",B182="",D182="",E182="",J182="",K182="Cancelled"),"",IF(SUMPRODUCT(--($A$6:$A$205&lt;&gt;A182),--($B$6:$B$205=B182),--($J$6:$J$205=J182),--($D$6:$D$205&lt;=E182),--($E$6:$E$205&gt;=D182),--($K$6:$K$205&lt;&gt;"Cancelled"))&gt;0,"Yes","No"))</f>
        <v/>
      </c>
      <c r="P182" s="18">
        <f>IF(COUNTA(A182:L182)=0,"",IF(OR(A182="",B182="",C182="",D182="",E182="",F182="",G182="",K182=""),"Missing required fields",IF(COUNTIF($A$6:$A$205,A182)&gt;1,"Duplicate Event ID",IF(E182&lt;D182,"End date before start date",IF(N182="Term not found","Term not found",IF(N182="Yes","Outside term",IF(O182="Yes","Owner conflict",IF(AND(E182&lt;Dashboard!$B$4,K182&lt;&gt;"Completed",K182&lt;&gt;"Cancelled"),"Past event not completed",""))))))))</f>
        <v/>
      </c>
    </row>
    <row r="183">
      <c r="A183" s="16" t="n"/>
      <c r="B183" s="16" t="n"/>
      <c r="C183" s="16" t="n"/>
      <c r="D183" s="26" t="n"/>
      <c r="E183" s="26" t="n"/>
      <c r="F183" s="16" t="n"/>
      <c r="G183" s="16" t="n"/>
      <c r="H183" s="16" t="n"/>
      <c r="I183" s="16" t="n"/>
      <c r="J183" s="16" t="n"/>
      <c r="K183" s="16" t="n"/>
      <c r="L183" s="16" t="n"/>
      <c r="M183" s="18">
        <f>IF(OR(D183="",E183=""),"",IF(E183&lt;D183,"",E183-D183+1))</f>
        <v/>
      </c>
      <c r="N183" s="18">
        <f>IF(OR(B183="",C183="",D183="",E183=""),"",IF(COUNTIFS('Academic Terms'!$A$6:$A$101,B183,'Academic Terms'!$B$6:$B$101,C183)&lt;&gt;1,"Term not found",IF(OR(D183&lt;SUMIFS('Academic Terms'!$C$6:$C$101,'Academic Terms'!$A$6:$A$101,B183,'Academic Terms'!$B$6:$B$101,C183),E183&gt;SUMIFS('Academic Terms'!$D$6:$D$101,'Academic Terms'!$A$6:$A$101,B183,'Academic Terms'!$B$6:$B$101,C183)),"Yes","No")))</f>
        <v/>
      </c>
      <c r="O183" s="18">
        <f>IF(OR(A183="",B183="",D183="",E183="",J183="",K183="Cancelled"),"",IF(SUMPRODUCT(--($A$6:$A$205&lt;&gt;A183),--($B$6:$B$205=B183),--($J$6:$J$205=J183),--($D$6:$D$205&lt;=E183),--($E$6:$E$205&gt;=D183),--($K$6:$K$205&lt;&gt;"Cancelled"))&gt;0,"Yes","No"))</f>
        <v/>
      </c>
      <c r="P183" s="18">
        <f>IF(COUNTA(A183:L183)=0,"",IF(OR(A183="",B183="",C183="",D183="",E183="",F183="",G183="",K183=""),"Missing required fields",IF(COUNTIF($A$6:$A$205,A183)&gt;1,"Duplicate Event ID",IF(E183&lt;D183,"End date before start date",IF(N183="Term not found","Term not found",IF(N183="Yes","Outside term",IF(O183="Yes","Owner conflict",IF(AND(E183&lt;Dashboard!$B$4,K183&lt;&gt;"Completed",K183&lt;&gt;"Cancelled"),"Past event not completed",""))))))))</f>
        <v/>
      </c>
    </row>
    <row r="184">
      <c r="A184" s="16" t="n"/>
      <c r="B184" s="16" t="n"/>
      <c r="C184" s="16" t="n"/>
      <c r="D184" s="26" t="n"/>
      <c r="E184" s="26" t="n"/>
      <c r="F184" s="16" t="n"/>
      <c r="G184" s="16" t="n"/>
      <c r="H184" s="16" t="n"/>
      <c r="I184" s="16" t="n"/>
      <c r="J184" s="16" t="n"/>
      <c r="K184" s="16" t="n"/>
      <c r="L184" s="16" t="n"/>
      <c r="M184" s="18">
        <f>IF(OR(D184="",E184=""),"",IF(E184&lt;D184,"",E184-D184+1))</f>
        <v/>
      </c>
      <c r="N184" s="18">
        <f>IF(OR(B184="",C184="",D184="",E184=""),"",IF(COUNTIFS('Academic Terms'!$A$6:$A$101,B184,'Academic Terms'!$B$6:$B$101,C184)&lt;&gt;1,"Term not found",IF(OR(D184&lt;SUMIFS('Academic Terms'!$C$6:$C$101,'Academic Terms'!$A$6:$A$101,B184,'Academic Terms'!$B$6:$B$101,C184),E184&gt;SUMIFS('Academic Terms'!$D$6:$D$101,'Academic Terms'!$A$6:$A$101,B184,'Academic Terms'!$B$6:$B$101,C184)),"Yes","No")))</f>
        <v/>
      </c>
      <c r="O184" s="18">
        <f>IF(OR(A184="",B184="",D184="",E184="",J184="",K184="Cancelled"),"",IF(SUMPRODUCT(--($A$6:$A$205&lt;&gt;A184),--($B$6:$B$205=B184),--($J$6:$J$205=J184),--($D$6:$D$205&lt;=E184),--($E$6:$E$205&gt;=D184),--($K$6:$K$205&lt;&gt;"Cancelled"))&gt;0,"Yes","No"))</f>
        <v/>
      </c>
      <c r="P184" s="18">
        <f>IF(COUNTA(A184:L184)=0,"",IF(OR(A184="",B184="",C184="",D184="",E184="",F184="",G184="",K184=""),"Missing required fields",IF(COUNTIF($A$6:$A$205,A184)&gt;1,"Duplicate Event ID",IF(E184&lt;D184,"End date before start date",IF(N184="Term not found","Term not found",IF(N184="Yes","Outside term",IF(O184="Yes","Owner conflict",IF(AND(E184&lt;Dashboard!$B$4,K184&lt;&gt;"Completed",K184&lt;&gt;"Cancelled"),"Past event not completed",""))))))))</f>
        <v/>
      </c>
    </row>
    <row r="185">
      <c r="A185" s="16" t="n"/>
      <c r="B185" s="16" t="n"/>
      <c r="C185" s="16" t="n"/>
      <c r="D185" s="26" t="n"/>
      <c r="E185" s="26" t="n"/>
      <c r="F185" s="16" t="n"/>
      <c r="G185" s="16" t="n"/>
      <c r="H185" s="16" t="n"/>
      <c r="I185" s="16" t="n"/>
      <c r="J185" s="16" t="n"/>
      <c r="K185" s="16" t="n"/>
      <c r="L185" s="16" t="n"/>
      <c r="M185" s="18">
        <f>IF(OR(D185="",E185=""),"",IF(E185&lt;D185,"",E185-D185+1))</f>
        <v/>
      </c>
      <c r="N185" s="18">
        <f>IF(OR(B185="",C185="",D185="",E185=""),"",IF(COUNTIFS('Academic Terms'!$A$6:$A$101,B185,'Academic Terms'!$B$6:$B$101,C185)&lt;&gt;1,"Term not found",IF(OR(D185&lt;SUMIFS('Academic Terms'!$C$6:$C$101,'Academic Terms'!$A$6:$A$101,B185,'Academic Terms'!$B$6:$B$101,C185),E185&gt;SUMIFS('Academic Terms'!$D$6:$D$101,'Academic Terms'!$A$6:$A$101,B185,'Academic Terms'!$B$6:$B$101,C185)),"Yes","No")))</f>
        <v/>
      </c>
      <c r="O185" s="18">
        <f>IF(OR(A185="",B185="",D185="",E185="",J185="",K185="Cancelled"),"",IF(SUMPRODUCT(--($A$6:$A$205&lt;&gt;A185),--($B$6:$B$205=B185),--($J$6:$J$205=J185),--($D$6:$D$205&lt;=E185),--($E$6:$E$205&gt;=D185),--($K$6:$K$205&lt;&gt;"Cancelled"))&gt;0,"Yes","No"))</f>
        <v/>
      </c>
      <c r="P185" s="18">
        <f>IF(COUNTA(A185:L185)=0,"",IF(OR(A185="",B185="",C185="",D185="",E185="",F185="",G185="",K185=""),"Missing required fields",IF(COUNTIF($A$6:$A$205,A185)&gt;1,"Duplicate Event ID",IF(E185&lt;D185,"End date before start date",IF(N185="Term not found","Term not found",IF(N185="Yes","Outside term",IF(O185="Yes","Owner conflict",IF(AND(E185&lt;Dashboard!$B$4,K185&lt;&gt;"Completed",K185&lt;&gt;"Cancelled"),"Past event not completed",""))))))))</f>
        <v/>
      </c>
    </row>
    <row r="186">
      <c r="A186" s="16" t="n"/>
      <c r="B186" s="16" t="n"/>
      <c r="C186" s="16" t="n"/>
      <c r="D186" s="26" t="n"/>
      <c r="E186" s="26" t="n"/>
      <c r="F186" s="16" t="n"/>
      <c r="G186" s="16" t="n"/>
      <c r="H186" s="16" t="n"/>
      <c r="I186" s="16" t="n"/>
      <c r="J186" s="16" t="n"/>
      <c r="K186" s="16" t="n"/>
      <c r="L186" s="16" t="n"/>
      <c r="M186" s="18">
        <f>IF(OR(D186="",E186=""),"",IF(E186&lt;D186,"",E186-D186+1))</f>
        <v/>
      </c>
      <c r="N186" s="18">
        <f>IF(OR(B186="",C186="",D186="",E186=""),"",IF(COUNTIFS('Academic Terms'!$A$6:$A$101,B186,'Academic Terms'!$B$6:$B$101,C186)&lt;&gt;1,"Term not found",IF(OR(D186&lt;SUMIFS('Academic Terms'!$C$6:$C$101,'Academic Terms'!$A$6:$A$101,B186,'Academic Terms'!$B$6:$B$101,C186),E186&gt;SUMIFS('Academic Terms'!$D$6:$D$101,'Academic Terms'!$A$6:$A$101,B186,'Academic Terms'!$B$6:$B$101,C186)),"Yes","No")))</f>
        <v/>
      </c>
      <c r="O186" s="18">
        <f>IF(OR(A186="",B186="",D186="",E186="",J186="",K186="Cancelled"),"",IF(SUMPRODUCT(--($A$6:$A$205&lt;&gt;A186),--($B$6:$B$205=B186),--($J$6:$J$205=J186),--($D$6:$D$205&lt;=E186),--($E$6:$E$205&gt;=D186),--($K$6:$K$205&lt;&gt;"Cancelled"))&gt;0,"Yes","No"))</f>
        <v/>
      </c>
      <c r="P186" s="18">
        <f>IF(COUNTA(A186:L186)=0,"",IF(OR(A186="",B186="",C186="",D186="",E186="",F186="",G186="",K186=""),"Missing required fields",IF(COUNTIF($A$6:$A$205,A186)&gt;1,"Duplicate Event ID",IF(E186&lt;D186,"End date before start date",IF(N186="Term not found","Term not found",IF(N186="Yes","Outside term",IF(O186="Yes","Owner conflict",IF(AND(E186&lt;Dashboard!$B$4,K186&lt;&gt;"Completed",K186&lt;&gt;"Cancelled"),"Past event not completed",""))))))))</f>
        <v/>
      </c>
    </row>
    <row r="187">
      <c r="A187" s="16" t="n"/>
      <c r="B187" s="16" t="n"/>
      <c r="C187" s="16" t="n"/>
      <c r="D187" s="26" t="n"/>
      <c r="E187" s="26" t="n"/>
      <c r="F187" s="16" t="n"/>
      <c r="G187" s="16" t="n"/>
      <c r="H187" s="16" t="n"/>
      <c r="I187" s="16" t="n"/>
      <c r="J187" s="16" t="n"/>
      <c r="K187" s="16" t="n"/>
      <c r="L187" s="16" t="n"/>
      <c r="M187" s="18">
        <f>IF(OR(D187="",E187=""),"",IF(E187&lt;D187,"",E187-D187+1))</f>
        <v/>
      </c>
      <c r="N187" s="18">
        <f>IF(OR(B187="",C187="",D187="",E187=""),"",IF(COUNTIFS('Academic Terms'!$A$6:$A$101,B187,'Academic Terms'!$B$6:$B$101,C187)&lt;&gt;1,"Term not found",IF(OR(D187&lt;SUMIFS('Academic Terms'!$C$6:$C$101,'Academic Terms'!$A$6:$A$101,B187,'Academic Terms'!$B$6:$B$101,C187),E187&gt;SUMIFS('Academic Terms'!$D$6:$D$101,'Academic Terms'!$A$6:$A$101,B187,'Academic Terms'!$B$6:$B$101,C187)),"Yes","No")))</f>
        <v/>
      </c>
      <c r="O187" s="18">
        <f>IF(OR(A187="",B187="",D187="",E187="",J187="",K187="Cancelled"),"",IF(SUMPRODUCT(--($A$6:$A$205&lt;&gt;A187),--($B$6:$B$205=B187),--($J$6:$J$205=J187),--($D$6:$D$205&lt;=E187),--($E$6:$E$205&gt;=D187),--($K$6:$K$205&lt;&gt;"Cancelled"))&gt;0,"Yes","No"))</f>
        <v/>
      </c>
      <c r="P187" s="18">
        <f>IF(COUNTA(A187:L187)=0,"",IF(OR(A187="",B187="",C187="",D187="",E187="",F187="",G187="",K187=""),"Missing required fields",IF(COUNTIF($A$6:$A$205,A187)&gt;1,"Duplicate Event ID",IF(E187&lt;D187,"End date before start date",IF(N187="Term not found","Term not found",IF(N187="Yes","Outside term",IF(O187="Yes","Owner conflict",IF(AND(E187&lt;Dashboard!$B$4,K187&lt;&gt;"Completed",K187&lt;&gt;"Cancelled"),"Past event not completed",""))))))))</f>
        <v/>
      </c>
    </row>
    <row r="188">
      <c r="A188" s="16" t="n"/>
      <c r="B188" s="16" t="n"/>
      <c r="C188" s="16" t="n"/>
      <c r="D188" s="26" t="n"/>
      <c r="E188" s="26" t="n"/>
      <c r="F188" s="16" t="n"/>
      <c r="G188" s="16" t="n"/>
      <c r="H188" s="16" t="n"/>
      <c r="I188" s="16" t="n"/>
      <c r="J188" s="16" t="n"/>
      <c r="K188" s="16" t="n"/>
      <c r="L188" s="16" t="n"/>
      <c r="M188" s="18">
        <f>IF(OR(D188="",E188=""),"",IF(E188&lt;D188,"",E188-D188+1))</f>
        <v/>
      </c>
      <c r="N188" s="18">
        <f>IF(OR(B188="",C188="",D188="",E188=""),"",IF(COUNTIFS('Academic Terms'!$A$6:$A$101,B188,'Academic Terms'!$B$6:$B$101,C188)&lt;&gt;1,"Term not found",IF(OR(D188&lt;SUMIFS('Academic Terms'!$C$6:$C$101,'Academic Terms'!$A$6:$A$101,B188,'Academic Terms'!$B$6:$B$101,C188),E188&gt;SUMIFS('Academic Terms'!$D$6:$D$101,'Academic Terms'!$A$6:$A$101,B188,'Academic Terms'!$B$6:$B$101,C188)),"Yes","No")))</f>
        <v/>
      </c>
      <c r="O188" s="18">
        <f>IF(OR(A188="",B188="",D188="",E188="",J188="",K188="Cancelled"),"",IF(SUMPRODUCT(--($A$6:$A$205&lt;&gt;A188),--($B$6:$B$205=B188),--($J$6:$J$205=J188),--($D$6:$D$205&lt;=E188),--($E$6:$E$205&gt;=D188),--($K$6:$K$205&lt;&gt;"Cancelled"))&gt;0,"Yes","No"))</f>
        <v/>
      </c>
      <c r="P188" s="18">
        <f>IF(COUNTA(A188:L188)=0,"",IF(OR(A188="",B188="",C188="",D188="",E188="",F188="",G188="",K188=""),"Missing required fields",IF(COUNTIF($A$6:$A$205,A188)&gt;1,"Duplicate Event ID",IF(E188&lt;D188,"End date before start date",IF(N188="Term not found","Term not found",IF(N188="Yes","Outside term",IF(O188="Yes","Owner conflict",IF(AND(E188&lt;Dashboard!$B$4,K188&lt;&gt;"Completed",K188&lt;&gt;"Cancelled"),"Past event not completed",""))))))))</f>
        <v/>
      </c>
    </row>
    <row r="189">
      <c r="A189" s="16" t="n"/>
      <c r="B189" s="16" t="n"/>
      <c r="C189" s="16" t="n"/>
      <c r="D189" s="26" t="n"/>
      <c r="E189" s="26" t="n"/>
      <c r="F189" s="16" t="n"/>
      <c r="G189" s="16" t="n"/>
      <c r="H189" s="16" t="n"/>
      <c r="I189" s="16" t="n"/>
      <c r="J189" s="16" t="n"/>
      <c r="K189" s="16" t="n"/>
      <c r="L189" s="16" t="n"/>
      <c r="M189" s="18">
        <f>IF(OR(D189="",E189=""),"",IF(E189&lt;D189,"",E189-D189+1))</f>
        <v/>
      </c>
      <c r="N189" s="18">
        <f>IF(OR(B189="",C189="",D189="",E189=""),"",IF(COUNTIFS('Academic Terms'!$A$6:$A$101,B189,'Academic Terms'!$B$6:$B$101,C189)&lt;&gt;1,"Term not found",IF(OR(D189&lt;SUMIFS('Academic Terms'!$C$6:$C$101,'Academic Terms'!$A$6:$A$101,B189,'Academic Terms'!$B$6:$B$101,C189),E189&gt;SUMIFS('Academic Terms'!$D$6:$D$101,'Academic Terms'!$A$6:$A$101,B189,'Academic Terms'!$B$6:$B$101,C189)),"Yes","No")))</f>
        <v/>
      </c>
      <c r="O189" s="18">
        <f>IF(OR(A189="",B189="",D189="",E189="",J189="",K189="Cancelled"),"",IF(SUMPRODUCT(--($A$6:$A$205&lt;&gt;A189),--($B$6:$B$205=B189),--($J$6:$J$205=J189),--($D$6:$D$205&lt;=E189),--($E$6:$E$205&gt;=D189),--($K$6:$K$205&lt;&gt;"Cancelled"))&gt;0,"Yes","No"))</f>
        <v/>
      </c>
      <c r="P189" s="18">
        <f>IF(COUNTA(A189:L189)=0,"",IF(OR(A189="",B189="",C189="",D189="",E189="",F189="",G189="",K189=""),"Missing required fields",IF(COUNTIF($A$6:$A$205,A189)&gt;1,"Duplicate Event ID",IF(E189&lt;D189,"End date before start date",IF(N189="Term not found","Term not found",IF(N189="Yes","Outside term",IF(O189="Yes","Owner conflict",IF(AND(E189&lt;Dashboard!$B$4,K189&lt;&gt;"Completed",K189&lt;&gt;"Cancelled"),"Past event not completed",""))))))))</f>
        <v/>
      </c>
    </row>
    <row r="190">
      <c r="A190" s="16" t="n"/>
      <c r="B190" s="16" t="n"/>
      <c r="C190" s="16" t="n"/>
      <c r="D190" s="26" t="n"/>
      <c r="E190" s="26" t="n"/>
      <c r="F190" s="16" t="n"/>
      <c r="G190" s="16" t="n"/>
      <c r="H190" s="16" t="n"/>
      <c r="I190" s="16" t="n"/>
      <c r="J190" s="16" t="n"/>
      <c r="K190" s="16" t="n"/>
      <c r="L190" s="16" t="n"/>
      <c r="M190" s="18">
        <f>IF(OR(D190="",E190=""),"",IF(E190&lt;D190,"",E190-D190+1))</f>
        <v/>
      </c>
      <c r="N190" s="18">
        <f>IF(OR(B190="",C190="",D190="",E190=""),"",IF(COUNTIFS('Academic Terms'!$A$6:$A$101,B190,'Academic Terms'!$B$6:$B$101,C190)&lt;&gt;1,"Term not found",IF(OR(D190&lt;SUMIFS('Academic Terms'!$C$6:$C$101,'Academic Terms'!$A$6:$A$101,B190,'Academic Terms'!$B$6:$B$101,C190),E190&gt;SUMIFS('Academic Terms'!$D$6:$D$101,'Academic Terms'!$A$6:$A$101,B190,'Academic Terms'!$B$6:$B$101,C190)),"Yes","No")))</f>
        <v/>
      </c>
      <c r="O190" s="18">
        <f>IF(OR(A190="",B190="",D190="",E190="",J190="",K190="Cancelled"),"",IF(SUMPRODUCT(--($A$6:$A$205&lt;&gt;A190),--($B$6:$B$205=B190),--($J$6:$J$205=J190),--($D$6:$D$205&lt;=E190),--($E$6:$E$205&gt;=D190),--($K$6:$K$205&lt;&gt;"Cancelled"))&gt;0,"Yes","No"))</f>
        <v/>
      </c>
      <c r="P190" s="18">
        <f>IF(COUNTA(A190:L190)=0,"",IF(OR(A190="",B190="",C190="",D190="",E190="",F190="",G190="",K190=""),"Missing required fields",IF(COUNTIF($A$6:$A$205,A190)&gt;1,"Duplicate Event ID",IF(E190&lt;D190,"End date before start date",IF(N190="Term not found","Term not found",IF(N190="Yes","Outside term",IF(O190="Yes","Owner conflict",IF(AND(E190&lt;Dashboard!$B$4,K190&lt;&gt;"Completed",K190&lt;&gt;"Cancelled"),"Past event not completed",""))))))))</f>
        <v/>
      </c>
    </row>
    <row r="191">
      <c r="A191" s="16" t="n"/>
      <c r="B191" s="16" t="n"/>
      <c r="C191" s="16" t="n"/>
      <c r="D191" s="26" t="n"/>
      <c r="E191" s="26" t="n"/>
      <c r="F191" s="16" t="n"/>
      <c r="G191" s="16" t="n"/>
      <c r="H191" s="16" t="n"/>
      <c r="I191" s="16" t="n"/>
      <c r="J191" s="16" t="n"/>
      <c r="K191" s="16" t="n"/>
      <c r="L191" s="16" t="n"/>
      <c r="M191" s="18">
        <f>IF(OR(D191="",E191=""),"",IF(E191&lt;D191,"",E191-D191+1))</f>
        <v/>
      </c>
      <c r="N191" s="18">
        <f>IF(OR(B191="",C191="",D191="",E191=""),"",IF(COUNTIFS('Academic Terms'!$A$6:$A$101,B191,'Academic Terms'!$B$6:$B$101,C191)&lt;&gt;1,"Term not found",IF(OR(D191&lt;SUMIFS('Academic Terms'!$C$6:$C$101,'Academic Terms'!$A$6:$A$101,B191,'Academic Terms'!$B$6:$B$101,C191),E191&gt;SUMIFS('Academic Terms'!$D$6:$D$101,'Academic Terms'!$A$6:$A$101,B191,'Academic Terms'!$B$6:$B$101,C191)),"Yes","No")))</f>
        <v/>
      </c>
      <c r="O191" s="18">
        <f>IF(OR(A191="",B191="",D191="",E191="",J191="",K191="Cancelled"),"",IF(SUMPRODUCT(--($A$6:$A$205&lt;&gt;A191),--($B$6:$B$205=B191),--($J$6:$J$205=J191),--($D$6:$D$205&lt;=E191),--($E$6:$E$205&gt;=D191),--($K$6:$K$205&lt;&gt;"Cancelled"))&gt;0,"Yes","No"))</f>
        <v/>
      </c>
      <c r="P191" s="18">
        <f>IF(COUNTA(A191:L191)=0,"",IF(OR(A191="",B191="",C191="",D191="",E191="",F191="",G191="",K191=""),"Missing required fields",IF(COUNTIF($A$6:$A$205,A191)&gt;1,"Duplicate Event ID",IF(E191&lt;D191,"End date before start date",IF(N191="Term not found","Term not found",IF(N191="Yes","Outside term",IF(O191="Yes","Owner conflict",IF(AND(E191&lt;Dashboard!$B$4,K191&lt;&gt;"Completed",K191&lt;&gt;"Cancelled"),"Past event not completed",""))))))))</f>
        <v/>
      </c>
    </row>
    <row r="192">
      <c r="A192" s="16" t="n"/>
      <c r="B192" s="16" t="n"/>
      <c r="C192" s="16" t="n"/>
      <c r="D192" s="26" t="n"/>
      <c r="E192" s="26" t="n"/>
      <c r="F192" s="16" t="n"/>
      <c r="G192" s="16" t="n"/>
      <c r="H192" s="16" t="n"/>
      <c r="I192" s="16" t="n"/>
      <c r="J192" s="16" t="n"/>
      <c r="K192" s="16" t="n"/>
      <c r="L192" s="16" t="n"/>
      <c r="M192" s="18">
        <f>IF(OR(D192="",E192=""),"",IF(E192&lt;D192,"",E192-D192+1))</f>
        <v/>
      </c>
      <c r="N192" s="18">
        <f>IF(OR(B192="",C192="",D192="",E192=""),"",IF(COUNTIFS('Academic Terms'!$A$6:$A$101,B192,'Academic Terms'!$B$6:$B$101,C192)&lt;&gt;1,"Term not found",IF(OR(D192&lt;SUMIFS('Academic Terms'!$C$6:$C$101,'Academic Terms'!$A$6:$A$101,B192,'Academic Terms'!$B$6:$B$101,C192),E192&gt;SUMIFS('Academic Terms'!$D$6:$D$101,'Academic Terms'!$A$6:$A$101,B192,'Academic Terms'!$B$6:$B$101,C192)),"Yes","No")))</f>
        <v/>
      </c>
      <c r="O192" s="18">
        <f>IF(OR(A192="",B192="",D192="",E192="",J192="",K192="Cancelled"),"",IF(SUMPRODUCT(--($A$6:$A$205&lt;&gt;A192),--($B$6:$B$205=B192),--($J$6:$J$205=J192),--($D$6:$D$205&lt;=E192),--($E$6:$E$205&gt;=D192),--($K$6:$K$205&lt;&gt;"Cancelled"))&gt;0,"Yes","No"))</f>
        <v/>
      </c>
      <c r="P192" s="18">
        <f>IF(COUNTA(A192:L192)=0,"",IF(OR(A192="",B192="",C192="",D192="",E192="",F192="",G192="",K192=""),"Missing required fields",IF(COUNTIF($A$6:$A$205,A192)&gt;1,"Duplicate Event ID",IF(E192&lt;D192,"End date before start date",IF(N192="Term not found","Term not found",IF(N192="Yes","Outside term",IF(O192="Yes","Owner conflict",IF(AND(E192&lt;Dashboard!$B$4,K192&lt;&gt;"Completed",K192&lt;&gt;"Cancelled"),"Past event not completed",""))))))))</f>
        <v/>
      </c>
    </row>
    <row r="193">
      <c r="A193" s="16" t="n"/>
      <c r="B193" s="16" t="n"/>
      <c r="C193" s="16" t="n"/>
      <c r="D193" s="26" t="n"/>
      <c r="E193" s="26" t="n"/>
      <c r="F193" s="16" t="n"/>
      <c r="G193" s="16" t="n"/>
      <c r="H193" s="16" t="n"/>
      <c r="I193" s="16" t="n"/>
      <c r="J193" s="16" t="n"/>
      <c r="K193" s="16" t="n"/>
      <c r="L193" s="16" t="n"/>
      <c r="M193" s="18">
        <f>IF(OR(D193="",E193=""),"",IF(E193&lt;D193,"",E193-D193+1))</f>
        <v/>
      </c>
      <c r="N193" s="18">
        <f>IF(OR(B193="",C193="",D193="",E193=""),"",IF(COUNTIFS('Academic Terms'!$A$6:$A$101,B193,'Academic Terms'!$B$6:$B$101,C193)&lt;&gt;1,"Term not found",IF(OR(D193&lt;SUMIFS('Academic Terms'!$C$6:$C$101,'Academic Terms'!$A$6:$A$101,B193,'Academic Terms'!$B$6:$B$101,C193),E193&gt;SUMIFS('Academic Terms'!$D$6:$D$101,'Academic Terms'!$A$6:$A$101,B193,'Academic Terms'!$B$6:$B$101,C193)),"Yes","No")))</f>
        <v/>
      </c>
      <c r="O193" s="18">
        <f>IF(OR(A193="",B193="",D193="",E193="",J193="",K193="Cancelled"),"",IF(SUMPRODUCT(--($A$6:$A$205&lt;&gt;A193),--($B$6:$B$205=B193),--($J$6:$J$205=J193),--($D$6:$D$205&lt;=E193),--($E$6:$E$205&gt;=D193),--($K$6:$K$205&lt;&gt;"Cancelled"))&gt;0,"Yes","No"))</f>
        <v/>
      </c>
      <c r="P193" s="18">
        <f>IF(COUNTA(A193:L193)=0,"",IF(OR(A193="",B193="",C193="",D193="",E193="",F193="",G193="",K193=""),"Missing required fields",IF(COUNTIF($A$6:$A$205,A193)&gt;1,"Duplicate Event ID",IF(E193&lt;D193,"End date before start date",IF(N193="Term not found","Term not found",IF(N193="Yes","Outside term",IF(O193="Yes","Owner conflict",IF(AND(E193&lt;Dashboard!$B$4,K193&lt;&gt;"Completed",K193&lt;&gt;"Cancelled"),"Past event not completed",""))))))))</f>
        <v/>
      </c>
    </row>
    <row r="194">
      <c r="A194" s="16" t="n"/>
      <c r="B194" s="16" t="n"/>
      <c r="C194" s="16" t="n"/>
      <c r="D194" s="26" t="n"/>
      <c r="E194" s="26" t="n"/>
      <c r="F194" s="16" t="n"/>
      <c r="G194" s="16" t="n"/>
      <c r="H194" s="16" t="n"/>
      <c r="I194" s="16" t="n"/>
      <c r="J194" s="16" t="n"/>
      <c r="K194" s="16" t="n"/>
      <c r="L194" s="16" t="n"/>
      <c r="M194" s="18">
        <f>IF(OR(D194="",E194=""),"",IF(E194&lt;D194,"",E194-D194+1))</f>
        <v/>
      </c>
      <c r="N194" s="18">
        <f>IF(OR(B194="",C194="",D194="",E194=""),"",IF(COUNTIFS('Academic Terms'!$A$6:$A$101,B194,'Academic Terms'!$B$6:$B$101,C194)&lt;&gt;1,"Term not found",IF(OR(D194&lt;SUMIFS('Academic Terms'!$C$6:$C$101,'Academic Terms'!$A$6:$A$101,B194,'Academic Terms'!$B$6:$B$101,C194),E194&gt;SUMIFS('Academic Terms'!$D$6:$D$101,'Academic Terms'!$A$6:$A$101,B194,'Academic Terms'!$B$6:$B$101,C194)),"Yes","No")))</f>
        <v/>
      </c>
      <c r="O194" s="18">
        <f>IF(OR(A194="",B194="",D194="",E194="",J194="",K194="Cancelled"),"",IF(SUMPRODUCT(--($A$6:$A$205&lt;&gt;A194),--($B$6:$B$205=B194),--($J$6:$J$205=J194),--($D$6:$D$205&lt;=E194),--($E$6:$E$205&gt;=D194),--($K$6:$K$205&lt;&gt;"Cancelled"))&gt;0,"Yes","No"))</f>
        <v/>
      </c>
      <c r="P194" s="18">
        <f>IF(COUNTA(A194:L194)=0,"",IF(OR(A194="",B194="",C194="",D194="",E194="",F194="",G194="",K194=""),"Missing required fields",IF(COUNTIF($A$6:$A$205,A194)&gt;1,"Duplicate Event ID",IF(E194&lt;D194,"End date before start date",IF(N194="Term not found","Term not found",IF(N194="Yes","Outside term",IF(O194="Yes","Owner conflict",IF(AND(E194&lt;Dashboard!$B$4,K194&lt;&gt;"Completed",K194&lt;&gt;"Cancelled"),"Past event not completed",""))))))))</f>
        <v/>
      </c>
    </row>
    <row r="195">
      <c r="A195" s="16" t="n"/>
      <c r="B195" s="16" t="n"/>
      <c r="C195" s="16" t="n"/>
      <c r="D195" s="26" t="n"/>
      <c r="E195" s="26" t="n"/>
      <c r="F195" s="16" t="n"/>
      <c r="G195" s="16" t="n"/>
      <c r="H195" s="16" t="n"/>
      <c r="I195" s="16" t="n"/>
      <c r="J195" s="16" t="n"/>
      <c r="K195" s="16" t="n"/>
      <c r="L195" s="16" t="n"/>
      <c r="M195" s="18">
        <f>IF(OR(D195="",E195=""),"",IF(E195&lt;D195,"",E195-D195+1))</f>
        <v/>
      </c>
      <c r="N195" s="18">
        <f>IF(OR(B195="",C195="",D195="",E195=""),"",IF(COUNTIFS('Academic Terms'!$A$6:$A$101,B195,'Academic Terms'!$B$6:$B$101,C195)&lt;&gt;1,"Term not found",IF(OR(D195&lt;SUMIFS('Academic Terms'!$C$6:$C$101,'Academic Terms'!$A$6:$A$101,B195,'Academic Terms'!$B$6:$B$101,C195),E195&gt;SUMIFS('Academic Terms'!$D$6:$D$101,'Academic Terms'!$A$6:$A$101,B195,'Academic Terms'!$B$6:$B$101,C195)),"Yes","No")))</f>
        <v/>
      </c>
      <c r="O195" s="18">
        <f>IF(OR(A195="",B195="",D195="",E195="",J195="",K195="Cancelled"),"",IF(SUMPRODUCT(--($A$6:$A$205&lt;&gt;A195),--($B$6:$B$205=B195),--($J$6:$J$205=J195),--($D$6:$D$205&lt;=E195),--($E$6:$E$205&gt;=D195),--($K$6:$K$205&lt;&gt;"Cancelled"))&gt;0,"Yes","No"))</f>
        <v/>
      </c>
      <c r="P195" s="18">
        <f>IF(COUNTA(A195:L195)=0,"",IF(OR(A195="",B195="",C195="",D195="",E195="",F195="",G195="",K195=""),"Missing required fields",IF(COUNTIF($A$6:$A$205,A195)&gt;1,"Duplicate Event ID",IF(E195&lt;D195,"End date before start date",IF(N195="Term not found","Term not found",IF(N195="Yes","Outside term",IF(O195="Yes","Owner conflict",IF(AND(E195&lt;Dashboard!$B$4,K195&lt;&gt;"Completed",K195&lt;&gt;"Cancelled"),"Past event not completed",""))))))))</f>
        <v/>
      </c>
    </row>
    <row r="196">
      <c r="A196" s="16" t="n"/>
      <c r="B196" s="16" t="n"/>
      <c r="C196" s="16" t="n"/>
      <c r="D196" s="26" t="n"/>
      <c r="E196" s="26" t="n"/>
      <c r="F196" s="16" t="n"/>
      <c r="G196" s="16" t="n"/>
      <c r="H196" s="16" t="n"/>
      <c r="I196" s="16" t="n"/>
      <c r="J196" s="16" t="n"/>
      <c r="K196" s="16" t="n"/>
      <c r="L196" s="16" t="n"/>
      <c r="M196" s="18">
        <f>IF(OR(D196="",E196=""),"",IF(E196&lt;D196,"",E196-D196+1))</f>
        <v/>
      </c>
      <c r="N196" s="18">
        <f>IF(OR(B196="",C196="",D196="",E196=""),"",IF(COUNTIFS('Academic Terms'!$A$6:$A$101,B196,'Academic Terms'!$B$6:$B$101,C196)&lt;&gt;1,"Term not found",IF(OR(D196&lt;SUMIFS('Academic Terms'!$C$6:$C$101,'Academic Terms'!$A$6:$A$101,B196,'Academic Terms'!$B$6:$B$101,C196),E196&gt;SUMIFS('Academic Terms'!$D$6:$D$101,'Academic Terms'!$A$6:$A$101,B196,'Academic Terms'!$B$6:$B$101,C196)),"Yes","No")))</f>
        <v/>
      </c>
      <c r="O196" s="18">
        <f>IF(OR(A196="",B196="",D196="",E196="",J196="",K196="Cancelled"),"",IF(SUMPRODUCT(--($A$6:$A$205&lt;&gt;A196),--($B$6:$B$205=B196),--($J$6:$J$205=J196),--($D$6:$D$205&lt;=E196),--($E$6:$E$205&gt;=D196),--($K$6:$K$205&lt;&gt;"Cancelled"))&gt;0,"Yes","No"))</f>
        <v/>
      </c>
      <c r="P196" s="18">
        <f>IF(COUNTA(A196:L196)=0,"",IF(OR(A196="",B196="",C196="",D196="",E196="",F196="",G196="",K196=""),"Missing required fields",IF(COUNTIF($A$6:$A$205,A196)&gt;1,"Duplicate Event ID",IF(E196&lt;D196,"End date before start date",IF(N196="Term not found","Term not found",IF(N196="Yes","Outside term",IF(O196="Yes","Owner conflict",IF(AND(E196&lt;Dashboard!$B$4,K196&lt;&gt;"Completed",K196&lt;&gt;"Cancelled"),"Past event not completed",""))))))))</f>
        <v/>
      </c>
    </row>
    <row r="197">
      <c r="A197" s="16" t="n"/>
      <c r="B197" s="16" t="n"/>
      <c r="C197" s="16" t="n"/>
      <c r="D197" s="26" t="n"/>
      <c r="E197" s="26" t="n"/>
      <c r="F197" s="16" t="n"/>
      <c r="G197" s="16" t="n"/>
      <c r="H197" s="16" t="n"/>
      <c r="I197" s="16" t="n"/>
      <c r="J197" s="16" t="n"/>
      <c r="K197" s="16" t="n"/>
      <c r="L197" s="16" t="n"/>
      <c r="M197" s="18">
        <f>IF(OR(D197="",E197=""),"",IF(E197&lt;D197,"",E197-D197+1))</f>
        <v/>
      </c>
      <c r="N197" s="18">
        <f>IF(OR(B197="",C197="",D197="",E197=""),"",IF(COUNTIFS('Academic Terms'!$A$6:$A$101,B197,'Academic Terms'!$B$6:$B$101,C197)&lt;&gt;1,"Term not found",IF(OR(D197&lt;SUMIFS('Academic Terms'!$C$6:$C$101,'Academic Terms'!$A$6:$A$101,B197,'Academic Terms'!$B$6:$B$101,C197),E197&gt;SUMIFS('Academic Terms'!$D$6:$D$101,'Academic Terms'!$A$6:$A$101,B197,'Academic Terms'!$B$6:$B$101,C197)),"Yes","No")))</f>
        <v/>
      </c>
      <c r="O197" s="18">
        <f>IF(OR(A197="",B197="",D197="",E197="",J197="",K197="Cancelled"),"",IF(SUMPRODUCT(--($A$6:$A$205&lt;&gt;A197),--($B$6:$B$205=B197),--($J$6:$J$205=J197),--($D$6:$D$205&lt;=E197),--($E$6:$E$205&gt;=D197),--($K$6:$K$205&lt;&gt;"Cancelled"))&gt;0,"Yes","No"))</f>
        <v/>
      </c>
      <c r="P197" s="18">
        <f>IF(COUNTA(A197:L197)=0,"",IF(OR(A197="",B197="",C197="",D197="",E197="",F197="",G197="",K197=""),"Missing required fields",IF(COUNTIF($A$6:$A$205,A197)&gt;1,"Duplicate Event ID",IF(E197&lt;D197,"End date before start date",IF(N197="Term not found","Term not found",IF(N197="Yes","Outside term",IF(O197="Yes","Owner conflict",IF(AND(E197&lt;Dashboard!$B$4,K197&lt;&gt;"Completed",K197&lt;&gt;"Cancelled"),"Past event not completed",""))))))))</f>
        <v/>
      </c>
    </row>
    <row r="198">
      <c r="A198" s="16" t="n"/>
      <c r="B198" s="16" t="n"/>
      <c r="C198" s="16" t="n"/>
      <c r="D198" s="26" t="n"/>
      <c r="E198" s="26" t="n"/>
      <c r="F198" s="16" t="n"/>
      <c r="G198" s="16" t="n"/>
      <c r="H198" s="16" t="n"/>
      <c r="I198" s="16" t="n"/>
      <c r="J198" s="16" t="n"/>
      <c r="K198" s="16" t="n"/>
      <c r="L198" s="16" t="n"/>
      <c r="M198" s="18">
        <f>IF(OR(D198="",E198=""),"",IF(E198&lt;D198,"",E198-D198+1))</f>
        <v/>
      </c>
      <c r="N198" s="18">
        <f>IF(OR(B198="",C198="",D198="",E198=""),"",IF(COUNTIFS('Academic Terms'!$A$6:$A$101,B198,'Academic Terms'!$B$6:$B$101,C198)&lt;&gt;1,"Term not found",IF(OR(D198&lt;SUMIFS('Academic Terms'!$C$6:$C$101,'Academic Terms'!$A$6:$A$101,B198,'Academic Terms'!$B$6:$B$101,C198),E198&gt;SUMIFS('Academic Terms'!$D$6:$D$101,'Academic Terms'!$A$6:$A$101,B198,'Academic Terms'!$B$6:$B$101,C198)),"Yes","No")))</f>
        <v/>
      </c>
      <c r="O198" s="18">
        <f>IF(OR(A198="",B198="",D198="",E198="",J198="",K198="Cancelled"),"",IF(SUMPRODUCT(--($A$6:$A$205&lt;&gt;A198),--($B$6:$B$205=B198),--($J$6:$J$205=J198),--($D$6:$D$205&lt;=E198),--($E$6:$E$205&gt;=D198),--($K$6:$K$205&lt;&gt;"Cancelled"))&gt;0,"Yes","No"))</f>
        <v/>
      </c>
      <c r="P198" s="18">
        <f>IF(COUNTA(A198:L198)=0,"",IF(OR(A198="",B198="",C198="",D198="",E198="",F198="",G198="",K198=""),"Missing required fields",IF(COUNTIF($A$6:$A$205,A198)&gt;1,"Duplicate Event ID",IF(E198&lt;D198,"End date before start date",IF(N198="Term not found","Term not found",IF(N198="Yes","Outside term",IF(O198="Yes","Owner conflict",IF(AND(E198&lt;Dashboard!$B$4,K198&lt;&gt;"Completed",K198&lt;&gt;"Cancelled"),"Past event not completed",""))))))))</f>
        <v/>
      </c>
    </row>
    <row r="199">
      <c r="A199" s="16" t="n"/>
      <c r="B199" s="16" t="n"/>
      <c r="C199" s="16" t="n"/>
      <c r="D199" s="26" t="n"/>
      <c r="E199" s="26" t="n"/>
      <c r="F199" s="16" t="n"/>
      <c r="G199" s="16" t="n"/>
      <c r="H199" s="16" t="n"/>
      <c r="I199" s="16" t="n"/>
      <c r="J199" s="16" t="n"/>
      <c r="K199" s="16" t="n"/>
      <c r="L199" s="16" t="n"/>
      <c r="M199" s="18">
        <f>IF(OR(D199="",E199=""),"",IF(E199&lt;D199,"",E199-D199+1))</f>
        <v/>
      </c>
      <c r="N199" s="18">
        <f>IF(OR(B199="",C199="",D199="",E199=""),"",IF(COUNTIFS('Academic Terms'!$A$6:$A$101,B199,'Academic Terms'!$B$6:$B$101,C199)&lt;&gt;1,"Term not found",IF(OR(D199&lt;SUMIFS('Academic Terms'!$C$6:$C$101,'Academic Terms'!$A$6:$A$101,B199,'Academic Terms'!$B$6:$B$101,C199),E199&gt;SUMIFS('Academic Terms'!$D$6:$D$101,'Academic Terms'!$A$6:$A$101,B199,'Academic Terms'!$B$6:$B$101,C199)),"Yes","No")))</f>
        <v/>
      </c>
      <c r="O199" s="18">
        <f>IF(OR(A199="",B199="",D199="",E199="",J199="",K199="Cancelled"),"",IF(SUMPRODUCT(--($A$6:$A$205&lt;&gt;A199),--($B$6:$B$205=B199),--($J$6:$J$205=J199),--($D$6:$D$205&lt;=E199),--($E$6:$E$205&gt;=D199),--($K$6:$K$205&lt;&gt;"Cancelled"))&gt;0,"Yes","No"))</f>
        <v/>
      </c>
      <c r="P199" s="18">
        <f>IF(COUNTA(A199:L199)=0,"",IF(OR(A199="",B199="",C199="",D199="",E199="",F199="",G199="",K199=""),"Missing required fields",IF(COUNTIF($A$6:$A$205,A199)&gt;1,"Duplicate Event ID",IF(E199&lt;D199,"End date before start date",IF(N199="Term not found","Term not found",IF(N199="Yes","Outside term",IF(O199="Yes","Owner conflict",IF(AND(E199&lt;Dashboard!$B$4,K199&lt;&gt;"Completed",K199&lt;&gt;"Cancelled"),"Past event not completed",""))))))))</f>
        <v/>
      </c>
    </row>
    <row r="200">
      <c r="A200" s="16" t="n"/>
      <c r="B200" s="16" t="n"/>
      <c r="C200" s="16" t="n"/>
      <c r="D200" s="26" t="n"/>
      <c r="E200" s="26" t="n"/>
      <c r="F200" s="16" t="n"/>
      <c r="G200" s="16" t="n"/>
      <c r="H200" s="16" t="n"/>
      <c r="I200" s="16" t="n"/>
      <c r="J200" s="16" t="n"/>
      <c r="K200" s="16" t="n"/>
      <c r="L200" s="16" t="n"/>
      <c r="M200" s="18">
        <f>IF(OR(D200="",E200=""),"",IF(E200&lt;D200,"",E200-D200+1))</f>
        <v/>
      </c>
      <c r="N200" s="18">
        <f>IF(OR(B200="",C200="",D200="",E200=""),"",IF(COUNTIFS('Academic Terms'!$A$6:$A$101,B200,'Academic Terms'!$B$6:$B$101,C200)&lt;&gt;1,"Term not found",IF(OR(D200&lt;SUMIFS('Academic Terms'!$C$6:$C$101,'Academic Terms'!$A$6:$A$101,B200,'Academic Terms'!$B$6:$B$101,C200),E200&gt;SUMIFS('Academic Terms'!$D$6:$D$101,'Academic Terms'!$A$6:$A$101,B200,'Academic Terms'!$B$6:$B$101,C200)),"Yes","No")))</f>
        <v/>
      </c>
      <c r="O200" s="18">
        <f>IF(OR(A200="",B200="",D200="",E200="",J200="",K200="Cancelled"),"",IF(SUMPRODUCT(--($A$6:$A$205&lt;&gt;A200),--($B$6:$B$205=B200),--($J$6:$J$205=J200),--($D$6:$D$205&lt;=E200),--($E$6:$E$205&gt;=D200),--($K$6:$K$205&lt;&gt;"Cancelled"))&gt;0,"Yes","No"))</f>
        <v/>
      </c>
      <c r="P200" s="18">
        <f>IF(COUNTA(A200:L200)=0,"",IF(OR(A200="",B200="",C200="",D200="",E200="",F200="",G200="",K200=""),"Missing required fields",IF(COUNTIF($A$6:$A$205,A200)&gt;1,"Duplicate Event ID",IF(E200&lt;D200,"End date before start date",IF(N200="Term not found","Term not found",IF(N200="Yes","Outside term",IF(O200="Yes","Owner conflict",IF(AND(E200&lt;Dashboard!$B$4,K200&lt;&gt;"Completed",K200&lt;&gt;"Cancelled"),"Past event not completed",""))))))))</f>
        <v/>
      </c>
    </row>
    <row r="201">
      <c r="A201" s="16" t="n"/>
      <c r="B201" s="16" t="n"/>
      <c r="C201" s="16" t="n"/>
      <c r="D201" s="26" t="n"/>
      <c r="E201" s="26" t="n"/>
      <c r="F201" s="16" t="n"/>
      <c r="G201" s="16" t="n"/>
      <c r="H201" s="16" t="n"/>
      <c r="I201" s="16" t="n"/>
      <c r="J201" s="16" t="n"/>
      <c r="K201" s="16" t="n"/>
      <c r="L201" s="16" t="n"/>
      <c r="M201" s="18">
        <f>IF(OR(D201="",E201=""),"",IF(E201&lt;D201,"",E201-D201+1))</f>
        <v/>
      </c>
      <c r="N201" s="18">
        <f>IF(OR(B201="",C201="",D201="",E201=""),"",IF(COUNTIFS('Academic Terms'!$A$6:$A$101,B201,'Academic Terms'!$B$6:$B$101,C201)&lt;&gt;1,"Term not found",IF(OR(D201&lt;SUMIFS('Academic Terms'!$C$6:$C$101,'Academic Terms'!$A$6:$A$101,B201,'Academic Terms'!$B$6:$B$101,C201),E201&gt;SUMIFS('Academic Terms'!$D$6:$D$101,'Academic Terms'!$A$6:$A$101,B201,'Academic Terms'!$B$6:$B$101,C201)),"Yes","No")))</f>
        <v/>
      </c>
      <c r="O201" s="18">
        <f>IF(OR(A201="",B201="",D201="",E201="",J201="",K201="Cancelled"),"",IF(SUMPRODUCT(--($A$6:$A$205&lt;&gt;A201),--($B$6:$B$205=B201),--($J$6:$J$205=J201),--($D$6:$D$205&lt;=E201),--($E$6:$E$205&gt;=D201),--($K$6:$K$205&lt;&gt;"Cancelled"))&gt;0,"Yes","No"))</f>
        <v/>
      </c>
      <c r="P201" s="18">
        <f>IF(COUNTA(A201:L201)=0,"",IF(OR(A201="",B201="",C201="",D201="",E201="",F201="",G201="",K201=""),"Missing required fields",IF(COUNTIF($A$6:$A$205,A201)&gt;1,"Duplicate Event ID",IF(E201&lt;D201,"End date before start date",IF(N201="Term not found","Term not found",IF(N201="Yes","Outside term",IF(O201="Yes","Owner conflict",IF(AND(E201&lt;Dashboard!$B$4,K201&lt;&gt;"Completed",K201&lt;&gt;"Cancelled"),"Past event not completed",""))))))))</f>
        <v/>
      </c>
    </row>
    <row r="202">
      <c r="A202" s="16" t="n"/>
      <c r="B202" s="16" t="n"/>
      <c r="C202" s="16" t="n"/>
      <c r="D202" s="26" t="n"/>
      <c r="E202" s="26" t="n"/>
      <c r="F202" s="16" t="n"/>
      <c r="G202" s="16" t="n"/>
      <c r="H202" s="16" t="n"/>
      <c r="I202" s="16" t="n"/>
      <c r="J202" s="16" t="n"/>
      <c r="K202" s="16" t="n"/>
      <c r="L202" s="16" t="n"/>
      <c r="M202" s="18">
        <f>IF(OR(D202="",E202=""),"",IF(E202&lt;D202,"",E202-D202+1))</f>
        <v/>
      </c>
      <c r="N202" s="18">
        <f>IF(OR(B202="",C202="",D202="",E202=""),"",IF(COUNTIFS('Academic Terms'!$A$6:$A$101,B202,'Academic Terms'!$B$6:$B$101,C202)&lt;&gt;1,"Term not found",IF(OR(D202&lt;SUMIFS('Academic Terms'!$C$6:$C$101,'Academic Terms'!$A$6:$A$101,B202,'Academic Terms'!$B$6:$B$101,C202),E202&gt;SUMIFS('Academic Terms'!$D$6:$D$101,'Academic Terms'!$A$6:$A$101,B202,'Academic Terms'!$B$6:$B$101,C202)),"Yes","No")))</f>
        <v/>
      </c>
      <c r="O202" s="18">
        <f>IF(OR(A202="",B202="",D202="",E202="",J202="",K202="Cancelled"),"",IF(SUMPRODUCT(--($A$6:$A$205&lt;&gt;A202),--($B$6:$B$205=B202),--($J$6:$J$205=J202),--($D$6:$D$205&lt;=E202),--($E$6:$E$205&gt;=D202),--($K$6:$K$205&lt;&gt;"Cancelled"))&gt;0,"Yes","No"))</f>
        <v/>
      </c>
      <c r="P202" s="18">
        <f>IF(COUNTA(A202:L202)=0,"",IF(OR(A202="",B202="",C202="",D202="",E202="",F202="",G202="",K202=""),"Missing required fields",IF(COUNTIF($A$6:$A$205,A202)&gt;1,"Duplicate Event ID",IF(E202&lt;D202,"End date before start date",IF(N202="Term not found","Term not found",IF(N202="Yes","Outside term",IF(O202="Yes","Owner conflict",IF(AND(E202&lt;Dashboard!$B$4,K202&lt;&gt;"Completed",K202&lt;&gt;"Cancelled"),"Past event not completed",""))))))))</f>
        <v/>
      </c>
    </row>
    <row r="203">
      <c r="A203" s="16" t="n"/>
      <c r="B203" s="16" t="n"/>
      <c r="C203" s="16" t="n"/>
      <c r="D203" s="26" t="n"/>
      <c r="E203" s="26" t="n"/>
      <c r="F203" s="16" t="n"/>
      <c r="G203" s="16" t="n"/>
      <c r="H203" s="16" t="n"/>
      <c r="I203" s="16" t="n"/>
      <c r="J203" s="16" t="n"/>
      <c r="K203" s="16" t="n"/>
      <c r="L203" s="16" t="n"/>
      <c r="M203" s="18">
        <f>IF(OR(D203="",E203=""),"",IF(E203&lt;D203,"",E203-D203+1))</f>
        <v/>
      </c>
      <c r="N203" s="18">
        <f>IF(OR(B203="",C203="",D203="",E203=""),"",IF(COUNTIFS('Academic Terms'!$A$6:$A$101,B203,'Academic Terms'!$B$6:$B$101,C203)&lt;&gt;1,"Term not found",IF(OR(D203&lt;SUMIFS('Academic Terms'!$C$6:$C$101,'Academic Terms'!$A$6:$A$101,B203,'Academic Terms'!$B$6:$B$101,C203),E203&gt;SUMIFS('Academic Terms'!$D$6:$D$101,'Academic Terms'!$A$6:$A$101,B203,'Academic Terms'!$B$6:$B$101,C203)),"Yes","No")))</f>
        <v/>
      </c>
      <c r="O203" s="18">
        <f>IF(OR(A203="",B203="",D203="",E203="",J203="",K203="Cancelled"),"",IF(SUMPRODUCT(--($A$6:$A$205&lt;&gt;A203),--($B$6:$B$205=B203),--($J$6:$J$205=J203),--($D$6:$D$205&lt;=E203),--($E$6:$E$205&gt;=D203),--($K$6:$K$205&lt;&gt;"Cancelled"))&gt;0,"Yes","No"))</f>
        <v/>
      </c>
      <c r="P203" s="18">
        <f>IF(COUNTA(A203:L203)=0,"",IF(OR(A203="",B203="",C203="",D203="",E203="",F203="",G203="",K203=""),"Missing required fields",IF(COUNTIF($A$6:$A$205,A203)&gt;1,"Duplicate Event ID",IF(E203&lt;D203,"End date before start date",IF(N203="Term not found","Term not found",IF(N203="Yes","Outside term",IF(O203="Yes","Owner conflict",IF(AND(E203&lt;Dashboard!$B$4,K203&lt;&gt;"Completed",K203&lt;&gt;"Cancelled"),"Past event not completed",""))))))))</f>
        <v/>
      </c>
    </row>
    <row r="204">
      <c r="A204" s="16" t="n"/>
      <c r="B204" s="16" t="n"/>
      <c r="C204" s="16" t="n"/>
      <c r="D204" s="26" t="n"/>
      <c r="E204" s="26" t="n"/>
      <c r="F204" s="16" t="n"/>
      <c r="G204" s="16" t="n"/>
      <c r="H204" s="16" t="n"/>
      <c r="I204" s="16" t="n"/>
      <c r="J204" s="16" t="n"/>
      <c r="K204" s="16" t="n"/>
      <c r="L204" s="16" t="n"/>
      <c r="M204" s="18">
        <f>IF(OR(D204="",E204=""),"",IF(E204&lt;D204,"",E204-D204+1))</f>
        <v/>
      </c>
      <c r="N204" s="18">
        <f>IF(OR(B204="",C204="",D204="",E204=""),"",IF(COUNTIFS('Academic Terms'!$A$6:$A$101,B204,'Academic Terms'!$B$6:$B$101,C204)&lt;&gt;1,"Term not found",IF(OR(D204&lt;SUMIFS('Academic Terms'!$C$6:$C$101,'Academic Terms'!$A$6:$A$101,B204,'Academic Terms'!$B$6:$B$101,C204),E204&gt;SUMIFS('Academic Terms'!$D$6:$D$101,'Academic Terms'!$A$6:$A$101,B204,'Academic Terms'!$B$6:$B$101,C204)),"Yes","No")))</f>
        <v/>
      </c>
      <c r="O204" s="18">
        <f>IF(OR(A204="",B204="",D204="",E204="",J204="",K204="Cancelled"),"",IF(SUMPRODUCT(--($A$6:$A$205&lt;&gt;A204),--($B$6:$B$205=B204),--($J$6:$J$205=J204),--($D$6:$D$205&lt;=E204),--($E$6:$E$205&gt;=D204),--($K$6:$K$205&lt;&gt;"Cancelled"))&gt;0,"Yes","No"))</f>
        <v/>
      </c>
      <c r="P204" s="18">
        <f>IF(COUNTA(A204:L204)=0,"",IF(OR(A204="",B204="",C204="",D204="",E204="",F204="",G204="",K204=""),"Missing required fields",IF(COUNTIF($A$6:$A$205,A204)&gt;1,"Duplicate Event ID",IF(E204&lt;D204,"End date before start date",IF(N204="Term not found","Term not found",IF(N204="Yes","Outside term",IF(O204="Yes","Owner conflict",IF(AND(E204&lt;Dashboard!$B$4,K204&lt;&gt;"Completed",K204&lt;&gt;"Cancelled"),"Past event not completed",""))))))))</f>
        <v/>
      </c>
    </row>
    <row r="205">
      <c r="A205" s="16" t="n"/>
      <c r="B205" s="16" t="n"/>
      <c r="C205" s="16" t="n"/>
      <c r="D205" s="26" t="n"/>
      <c r="E205" s="26" t="n"/>
      <c r="F205" s="16" t="n"/>
      <c r="G205" s="16" t="n"/>
      <c r="H205" s="16" t="n"/>
      <c r="I205" s="16" t="n"/>
      <c r="J205" s="16" t="n"/>
      <c r="K205" s="16" t="n"/>
      <c r="L205" s="16" t="n"/>
      <c r="M205" s="18">
        <f>IF(OR(D205="",E205=""),"",IF(E205&lt;D205,"",E205-D205+1))</f>
        <v/>
      </c>
      <c r="N205" s="18">
        <f>IF(OR(B205="",C205="",D205="",E205=""),"",IF(COUNTIFS('Academic Terms'!$A$6:$A$101,B205,'Academic Terms'!$B$6:$B$101,C205)&lt;&gt;1,"Term not found",IF(OR(D205&lt;SUMIFS('Academic Terms'!$C$6:$C$101,'Academic Terms'!$A$6:$A$101,B205,'Academic Terms'!$B$6:$B$101,C205),E205&gt;SUMIFS('Academic Terms'!$D$6:$D$101,'Academic Terms'!$A$6:$A$101,B205,'Academic Terms'!$B$6:$B$101,C205)),"Yes","No")))</f>
        <v/>
      </c>
      <c r="O205" s="18">
        <f>IF(OR(A205="",B205="",D205="",E205="",J205="",K205="Cancelled"),"",IF(SUMPRODUCT(--($A$6:$A$205&lt;&gt;A205),--($B$6:$B$205=B205),--($J$6:$J$205=J205),--($D$6:$D$205&lt;=E205),--($E$6:$E$205&gt;=D205),--($K$6:$K$205&lt;&gt;"Cancelled"))&gt;0,"Yes","No"))</f>
        <v/>
      </c>
      <c r="P205" s="18">
        <f>IF(COUNTA(A205:L205)=0,"",IF(OR(A205="",B205="",C205="",D205="",E205="",F205="",G205="",K205=""),"Missing required fields",IF(COUNTIF($A$6:$A$205,A205)&gt;1,"Duplicate Event ID",IF(E205&lt;D205,"End date before start date",IF(N205="Term not found","Term not found",IF(N205="Yes","Outside term",IF(O205="Yes","Owner conflict",IF(AND(E205&lt;Dashboard!$B$4,K205&lt;&gt;"Completed",K205&lt;&gt;"Cancelled"),"Past event not completed",""))))))))</f>
        <v/>
      </c>
    </row>
  </sheetData>
  <mergeCells count="1">
    <mergeCell ref="A1:P1"/>
  </mergeCells>
  <conditionalFormatting sqref="P6:P205">
    <cfRule type="expression" priority="1" dxfId="0" stopIfTrue="1">
      <formula>P6&lt;&gt;""</formula>
    </cfRule>
  </conditionalFormatting>
  <conditionalFormatting sqref="A6:P205">
    <cfRule type="expression" priority="2" dxfId="2">
      <formula>$K6="Completed"</formula>
    </cfRule>
    <cfRule type="expression" priority="3" dxfId="6">
      <formula>$K6="Cancelled"</formula>
    </cfRule>
  </conditionalFormatting>
  <dataValidations count="8">
    <dataValidation sqref="B6:B205" showDropDown="0" showInputMessage="0" showErrorMessage="0" allowBlank="0" type="list">
      <formula1>'Academic Terms'!$A$6:$A$101</formula1>
    </dataValidation>
    <dataValidation sqref="C6:C205" showDropDown="0" showInputMessage="0" showErrorMessage="0" allowBlank="0" type="list">
      <formula1>'Academic Terms'!$B$6:$B$101</formula1>
    </dataValidation>
    <dataValidation sqref="D6:D205" showDropDown="0" showInputMessage="0" showErrorMessage="0" allowBlank="0" type="date" operator="between">
      <formula1>DATE(2020,1,1)</formula1>
      <formula2>DATE(2035,12,31)</formula2>
    </dataValidation>
    <dataValidation sqref="E6:E205" showDropDown="0" showInputMessage="0" showErrorMessage="0" allowBlank="0" type="custom">
      <formula1>=OR(E6="",D6="",AND(E6&gt;=D6,E6&gt;=DATE(2020,1,1),E6&lt;=DATE(2035,12,31)))</formula1>
    </dataValidation>
    <dataValidation sqref="G6:G205" showDropDown="0" showInputMessage="0" showErrorMessage="0" allowBlank="0" type="list">
      <formula1>"Instruction,Registration,Assessment,Break/Holiday,Faculty Activity,Student Support,Ceremony,Deadline,Other"</formula1>
    </dataValidation>
    <dataValidation sqref="H6:H205" showDropDown="0" showInputMessage="0" showErrorMessage="0" allowBlank="0" type="list">
      <formula1>"Open,Closed,Modified Hours,Not Applicable"</formula1>
    </dataValidation>
    <dataValidation sqref="I6:I205" showDropDown="0" showInputMessage="0" showErrorMessage="0" allowBlank="0" type="list">
      <formula1>"All Learners,Undergraduate,Graduate,Faculty,Staff,Public,Other"</formula1>
    </dataValidation>
    <dataValidation sqref="K6:K205" showDropDown="0" showInputMessage="0" showErrorMessage="0" allowBlank="0" type="list">
      <formula1>"Planned,Confirmed,Completed,Cancelled"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101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8"/>
  <cols>
    <col width="16" customWidth="1" min="1" max="1"/>
    <col width="18" customWidth="1" min="2" max="2"/>
    <col width="19" customWidth="1" min="3" max="3"/>
    <col width="19" customWidth="1" min="4" max="4"/>
    <col width="19" customWidth="1" min="5" max="5"/>
    <col width="19" customWidth="1" min="6" max="6"/>
    <col width="15" customWidth="1" min="7" max="7"/>
    <col width="36" customWidth="1" min="8" max="8"/>
    <col width="12" customWidth="1" min="9" max="9"/>
    <col width="28" customWidth="1" min="10" max="10"/>
  </cols>
  <sheetData>
    <row r="1" ht="26" customHeight="1">
      <c r="A1" s="1" t="inlineStr">
        <is>
          <t>Academic Terms</t>
        </is>
      </c>
    </row>
    <row r="2">
      <c r="A2" s="15" t="inlineStr">
        <is>
          <t>Define each academic term once. Term names should be unique within an academic year.</t>
        </is>
      </c>
    </row>
    <row r="5">
      <c r="A5" s="9" t="inlineStr">
        <is>
          <t>Academic Year</t>
        </is>
      </c>
      <c r="B5" s="9" t="inlineStr">
        <is>
          <t>Term Name</t>
        </is>
      </c>
      <c r="C5" s="9" t="inlineStr">
        <is>
          <t>Term Start Date</t>
        </is>
      </c>
      <c r="D5" s="9" t="inlineStr">
        <is>
          <t>Term End Date</t>
        </is>
      </c>
      <c r="E5" s="9" t="inlineStr">
        <is>
          <t>Instruction Start Date</t>
        </is>
      </c>
      <c r="F5" s="9" t="inlineStr">
        <is>
          <t>Instruction End Date</t>
        </is>
      </c>
      <c r="G5" s="9" t="inlineStr">
        <is>
          <t>Term Status</t>
        </is>
      </c>
      <c r="H5" s="9" t="inlineStr">
        <is>
          <t>Notes</t>
        </is>
      </c>
      <c r="I5" s="9" t="inlineStr">
        <is>
          <t>Term Days</t>
        </is>
      </c>
      <c r="J5" s="9" t="inlineStr">
        <is>
          <t>Review Alert</t>
        </is>
      </c>
    </row>
    <row r="6">
      <c r="A6" s="16" t="inlineStr">
        <is>
          <t>2026-2027</t>
        </is>
      </c>
      <c r="B6" s="16" t="inlineStr">
        <is>
          <t>Fall Term</t>
        </is>
      </c>
      <c r="C6" s="26" t="n">
        <v>46258</v>
      </c>
      <c r="D6" s="26" t="n">
        <v>46374</v>
      </c>
      <c r="E6" s="26" t="n">
        <v>46258</v>
      </c>
      <c r="F6" s="26" t="n">
        <v>46367</v>
      </c>
      <c r="G6" s="16" t="inlineStr">
        <is>
          <t>Published</t>
        </is>
      </c>
      <c r="H6" s="16" t="inlineStr">
        <is>
          <t>Main fall academic term.</t>
        </is>
      </c>
      <c r="I6" s="18">
        <f>IF(OR(C6="",D6=""),"",IF(D6&lt;C6,"",D6-C6+1))</f>
        <v/>
      </c>
      <c r="J6" s="18">
        <f>IF(COUNTA(A6:H6)=0,"",IF(OR(A6="",B6="",C6="",D6="",G6=""),"Missing required fields",IF(COUNTIFS($A$6:$A$101,A6,$B$6:$B$101,B6)&gt;1,"Duplicate term",IF(D6&lt;C6,"Term end before start",IF(AND(OR(E6&lt;&gt;"",F6&lt;&gt;""),OR(E6="",F6="")),"Complete both instruction dates",IF(AND(E6&lt;&gt;"",F6&lt;&gt;"",F6&lt;E6),"Instruction end before start",IF(AND(E6&lt;&gt;"",F6&lt;&gt;"",OR(E6&lt;C6,F6&gt;D6)),"Instruction dates outside term","")))))))</f>
        <v/>
      </c>
    </row>
    <row r="7">
      <c r="A7" s="16" t="inlineStr">
        <is>
          <t>2026-2027</t>
        </is>
      </c>
      <c r="B7" s="16" t="inlineStr">
        <is>
          <t>Winter Term</t>
        </is>
      </c>
      <c r="C7" s="26" t="n">
        <v>46391</v>
      </c>
      <c r="D7" s="26" t="n">
        <v>46465</v>
      </c>
      <c r="E7" s="26" t="n">
        <v>46391</v>
      </c>
      <c r="F7" s="26" t="n">
        <v>46458</v>
      </c>
      <c r="G7" s="16" t="inlineStr">
        <is>
          <t>Published</t>
        </is>
      </c>
      <c r="H7" s="16" t="inlineStr">
        <is>
          <t>Main winter academic term.</t>
        </is>
      </c>
      <c r="I7" s="18">
        <f>IF(OR(C7="",D7=""),"",IF(D7&lt;C7,"",D7-C7+1))</f>
        <v/>
      </c>
      <c r="J7" s="18">
        <f>IF(COUNTA(A7:H7)=0,"",IF(OR(A7="",B7="",C7="",D7="",G7=""),"Missing required fields",IF(COUNTIFS($A$6:$A$101,A7,$B$6:$B$101,B7)&gt;1,"Duplicate term",IF(D7&lt;C7,"Term end before start",IF(AND(OR(E7&lt;&gt;"",F7&lt;&gt;""),OR(E7="",F7="")),"Complete both instruction dates",IF(AND(E7&lt;&gt;"",F7&lt;&gt;"",F7&lt;E7),"Instruction end before start",IF(AND(E7&lt;&gt;"",F7&lt;&gt;"",OR(E7&lt;C7,F7&gt;D7)),"Instruction dates outside term","")))))))</f>
        <v/>
      </c>
    </row>
    <row r="8">
      <c r="A8" s="16" t="inlineStr">
        <is>
          <t>2026-2027</t>
        </is>
      </c>
      <c r="B8" s="16" t="inlineStr">
        <is>
          <t>Spring Term</t>
        </is>
      </c>
      <c r="C8" s="26" t="n">
        <v>46475</v>
      </c>
      <c r="D8" s="26" t="n">
        <v>46549</v>
      </c>
      <c r="E8" s="26" t="n">
        <v>46475</v>
      </c>
      <c r="F8" s="26" t="n">
        <v>46542</v>
      </c>
      <c r="G8" s="16" t="inlineStr">
        <is>
          <t>Planning</t>
        </is>
      </c>
      <c r="H8" s="16" t="inlineStr">
        <is>
          <t>Main spring academic term.</t>
        </is>
      </c>
      <c r="I8" s="18">
        <f>IF(OR(C8="",D8=""),"",IF(D8&lt;C8,"",D8-C8+1))</f>
        <v/>
      </c>
      <c r="J8" s="18">
        <f>IF(COUNTA(A8:H8)=0,"",IF(OR(A8="",B8="",C8="",D8="",G8=""),"Missing required fields",IF(COUNTIFS($A$6:$A$101,A8,$B$6:$B$101,B8)&gt;1,"Duplicate term",IF(D8&lt;C8,"Term end before start",IF(AND(OR(E8&lt;&gt;"",F8&lt;&gt;""),OR(E8="",F8="")),"Complete both instruction dates",IF(AND(E8&lt;&gt;"",F8&lt;&gt;"",F8&lt;E8),"Instruction end before start",IF(AND(E8&lt;&gt;"",F8&lt;&gt;"",OR(E8&lt;C8,F8&gt;D8)),"Instruction dates outside term","")))))))</f>
        <v/>
      </c>
    </row>
    <row r="9">
      <c r="A9" s="16" t="inlineStr">
        <is>
          <t>2026-2027</t>
        </is>
      </c>
      <c r="B9" s="16" t="inlineStr">
        <is>
          <t>Summer Term</t>
        </is>
      </c>
      <c r="C9" s="26" t="n">
        <v>46559</v>
      </c>
      <c r="D9" s="26" t="n">
        <v>46612</v>
      </c>
      <c r="E9" s="26" t="n">
        <v>46559</v>
      </c>
      <c r="F9" s="26" t="n">
        <v>46605</v>
      </c>
      <c r="G9" s="16" t="inlineStr">
        <is>
          <t>Planning</t>
        </is>
      </c>
      <c r="H9" s="16" t="inlineStr">
        <is>
          <t>Main summer academic term.</t>
        </is>
      </c>
      <c r="I9" s="18">
        <f>IF(OR(C9="",D9=""),"",IF(D9&lt;C9,"",D9-C9+1))</f>
        <v/>
      </c>
      <c r="J9" s="18">
        <f>IF(COUNTA(A9:H9)=0,"",IF(OR(A9="",B9="",C9="",D9="",G9=""),"Missing required fields",IF(COUNTIFS($A$6:$A$101,A9,$B$6:$B$101,B9)&gt;1,"Duplicate term",IF(D9&lt;C9,"Term end before start",IF(AND(OR(E9&lt;&gt;"",F9&lt;&gt;""),OR(E9="",F9="")),"Complete both instruction dates",IF(AND(E9&lt;&gt;"",F9&lt;&gt;"",F9&lt;E9),"Instruction end before start",IF(AND(E9&lt;&gt;"",F9&lt;&gt;"",OR(E9&lt;C9,F9&gt;D9)),"Instruction dates outside term","")))))))</f>
        <v/>
      </c>
    </row>
    <row r="10">
      <c r="A10" s="16" t="n"/>
      <c r="B10" s="16" t="n"/>
      <c r="C10" s="26" t="n"/>
      <c r="D10" s="26" t="n"/>
      <c r="E10" s="26" t="n"/>
      <c r="F10" s="26" t="n"/>
      <c r="G10" s="16" t="n"/>
      <c r="H10" s="16" t="n"/>
      <c r="I10" s="18">
        <f>IF(OR(C10="",D10=""),"",IF(D10&lt;C10,"",D10-C10+1))</f>
        <v/>
      </c>
      <c r="J10" s="18">
        <f>IF(COUNTA(A10:H10)=0,"",IF(OR(A10="",B10="",C10="",D10="",G10=""),"Missing required fields",IF(COUNTIFS($A$6:$A$101,A10,$B$6:$B$101,B10)&gt;1,"Duplicate term",IF(D10&lt;C10,"Term end before start",IF(AND(OR(E10&lt;&gt;"",F10&lt;&gt;""),OR(E10="",F10="")),"Complete both instruction dates",IF(AND(E10&lt;&gt;"",F10&lt;&gt;"",F10&lt;E10),"Instruction end before start",IF(AND(E10&lt;&gt;"",F10&lt;&gt;"",OR(E10&lt;C10,F10&gt;D10)),"Instruction dates outside term","")))))))</f>
        <v/>
      </c>
    </row>
    <row r="11">
      <c r="A11" s="16" t="n"/>
      <c r="B11" s="16" t="n"/>
      <c r="C11" s="26" t="n"/>
      <c r="D11" s="26" t="n"/>
      <c r="E11" s="26" t="n"/>
      <c r="F11" s="26" t="n"/>
      <c r="G11" s="16" t="n"/>
      <c r="H11" s="16" t="n"/>
      <c r="I11" s="18">
        <f>IF(OR(C11="",D11=""),"",IF(D11&lt;C11,"",D11-C11+1))</f>
        <v/>
      </c>
      <c r="J11" s="18">
        <f>IF(COUNTA(A11:H11)=0,"",IF(OR(A11="",B11="",C11="",D11="",G11=""),"Missing required fields",IF(COUNTIFS($A$6:$A$101,A11,$B$6:$B$101,B11)&gt;1,"Duplicate term",IF(D11&lt;C11,"Term end before start",IF(AND(OR(E11&lt;&gt;"",F11&lt;&gt;""),OR(E11="",F11="")),"Complete both instruction dates",IF(AND(E11&lt;&gt;"",F11&lt;&gt;"",F11&lt;E11),"Instruction end before start",IF(AND(E11&lt;&gt;"",F11&lt;&gt;"",OR(E11&lt;C11,F11&gt;D11)),"Instruction dates outside term","")))))))</f>
        <v/>
      </c>
    </row>
    <row r="12">
      <c r="A12" s="16" t="n"/>
      <c r="B12" s="16" t="n"/>
      <c r="C12" s="26" t="n"/>
      <c r="D12" s="26" t="n"/>
      <c r="E12" s="26" t="n"/>
      <c r="F12" s="26" t="n"/>
      <c r="G12" s="16" t="n"/>
      <c r="H12" s="16" t="n"/>
      <c r="I12" s="18">
        <f>IF(OR(C12="",D12=""),"",IF(D12&lt;C12,"",D12-C12+1))</f>
        <v/>
      </c>
      <c r="J12" s="18">
        <f>IF(COUNTA(A12:H12)=0,"",IF(OR(A12="",B12="",C12="",D12="",G12=""),"Missing required fields",IF(COUNTIFS($A$6:$A$101,A12,$B$6:$B$101,B12)&gt;1,"Duplicate term",IF(D12&lt;C12,"Term end before start",IF(AND(OR(E12&lt;&gt;"",F12&lt;&gt;""),OR(E12="",F12="")),"Complete both instruction dates",IF(AND(E12&lt;&gt;"",F12&lt;&gt;"",F12&lt;E12),"Instruction end before start",IF(AND(E12&lt;&gt;"",F12&lt;&gt;"",OR(E12&lt;C12,F12&gt;D12)),"Instruction dates outside term","")))))))</f>
        <v/>
      </c>
    </row>
    <row r="13">
      <c r="A13" s="16" t="n"/>
      <c r="B13" s="16" t="n"/>
      <c r="C13" s="26" t="n"/>
      <c r="D13" s="26" t="n"/>
      <c r="E13" s="26" t="n"/>
      <c r="F13" s="26" t="n"/>
      <c r="G13" s="16" t="n"/>
      <c r="H13" s="16" t="n"/>
      <c r="I13" s="18">
        <f>IF(OR(C13="",D13=""),"",IF(D13&lt;C13,"",D13-C13+1))</f>
        <v/>
      </c>
      <c r="J13" s="18">
        <f>IF(COUNTA(A13:H13)=0,"",IF(OR(A13="",B13="",C13="",D13="",G13=""),"Missing required fields",IF(COUNTIFS($A$6:$A$101,A13,$B$6:$B$101,B13)&gt;1,"Duplicate term",IF(D13&lt;C13,"Term end before start",IF(AND(OR(E13&lt;&gt;"",F13&lt;&gt;""),OR(E13="",F13="")),"Complete both instruction dates",IF(AND(E13&lt;&gt;"",F13&lt;&gt;"",F13&lt;E13),"Instruction end before start",IF(AND(E13&lt;&gt;"",F13&lt;&gt;"",OR(E13&lt;C13,F13&gt;D13)),"Instruction dates outside term","")))))))</f>
        <v/>
      </c>
    </row>
    <row r="14">
      <c r="A14" s="16" t="n"/>
      <c r="B14" s="16" t="n"/>
      <c r="C14" s="26" t="n"/>
      <c r="D14" s="26" t="n"/>
      <c r="E14" s="26" t="n"/>
      <c r="F14" s="26" t="n"/>
      <c r="G14" s="16" t="n"/>
      <c r="H14" s="16" t="n"/>
      <c r="I14" s="18">
        <f>IF(OR(C14="",D14=""),"",IF(D14&lt;C14,"",D14-C14+1))</f>
        <v/>
      </c>
      <c r="J14" s="18">
        <f>IF(COUNTA(A14:H14)=0,"",IF(OR(A14="",B14="",C14="",D14="",G14=""),"Missing required fields",IF(COUNTIFS($A$6:$A$101,A14,$B$6:$B$101,B14)&gt;1,"Duplicate term",IF(D14&lt;C14,"Term end before start",IF(AND(OR(E14&lt;&gt;"",F14&lt;&gt;""),OR(E14="",F14="")),"Complete both instruction dates",IF(AND(E14&lt;&gt;"",F14&lt;&gt;"",F14&lt;E14),"Instruction end before start",IF(AND(E14&lt;&gt;"",F14&lt;&gt;"",OR(E14&lt;C14,F14&gt;D14)),"Instruction dates outside term","")))))))</f>
        <v/>
      </c>
    </row>
    <row r="15">
      <c r="A15" s="16" t="n"/>
      <c r="B15" s="16" t="n"/>
      <c r="C15" s="26" t="n"/>
      <c r="D15" s="26" t="n"/>
      <c r="E15" s="26" t="n"/>
      <c r="F15" s="26" t="n"/>
      <c r="G15" s="16" t="n"/>
      <c r="H15" s="16" t="n"/>
      <c r="I15" s="18">
        <f>IF(OR(C15="",D15=""),"",IF(D15&lt;C15,"",D15-C15+1))</f>
        <v/>
      </c>
      <c r="J15" s="18">
        <f>IF(COUNTA(A15:H15)=0,"",IF(OR(A15="",B15="",C15="",D15="",G15=""),"Missing required fields",IF(COUNTIFS($A$6:$A$101,A15,$B$6:$B$101,B15)&gt;1,"Duplicate term",IF(D15&lt;C15,"Term end before start",IF(AND(OR(E15&lt;&gt;"",F15&lt;&gt;""),OR(E15="",F15="")),"Complete both instruction dates",IF(AND(E15&lt;&gt;"",F15&lt;&gt;"",F15&lt;E15),"Instruction end before start",IF(AND(E15&lt;&gt;"",F15&lt;&gt;"",OR(E15&lt;C15,F15&gt;D15)),"Instruction dates outside term","")))))))</f>
        <v/>
      </c>
    </row>
    <row r="16">
      <c r="A16" s="16" t="n"/>
      <c r="B16" s="16" t="n"/>
      <c r="C16" s="26" t="n"/>
      <c r="D16" s="26" t="n"/>
      <c r="E16" s="26" t="n"/>
      <c r="F16" s="26" t="n"/>
      <c r="G16" s="16" t="n"/>
      <c r="H16" s="16" t="n"/>
      <c r="I16" s="18">
        <f>IF(OR(C16="",D16=""),"",IF(D16&lt;C16,"",D16-C16+1))</f>
        <v/>
      </c>
      <c r="J16" s="18">
        <f>IF(COUNTA(A16:H16)=0,"",IF(OR(A16="",B16="",C16="",D16="",G16=""),"Missing required fields",IF(COUNTIFS($A$6:$A$101,A16,$B$6:$B$101,B16)&gt;1,"Duplicate term",IF(D16&lt;C16,"Term end before start",IF(AND(OR(E16&lt;&gt;"",F16&lt;&gt;""),OR(E16="",F16="")),"Complete both instruction dates",IF(AND(E16&lt;&gt;"",F16&lt;&gt;"",F16&lt;E16),"Instruction end before start",IF(AND(E16&lt;&gt;"",F16&lt;&gt;"",OR(E16&lt;C16,F16&gt;D16)),"Instruction dates outside term","")))))))</f>
        <v/>
      </c>
    </row>
    <row r="17">
      <c r="A17" s="16" t="n"/>
      <c r="B17" s="16" t="n"/>
      <c r="C17" s="26" t="n"/>
      <c r="D17" s="26" t="n"/>
      <c r="E17" s="26" t="n"/>
      <c r="F17" s="26" t="n"/>
      <c r="G17" s="16" t="n"/>
      <c r="H17" s="16" t="n"/>
      <c r="I17" s="18">
        <f>IF(OR(C17="",D17=""),"",IF(D17&lt;C17,"",D17-C17+1))</f>
        <v/>
      </c>
      <c r="J17" s="18">
        <f>IF(COUNTA(A17:H17)=0,"",IF(OR(A17="",B17="",C17="",D17="",G17=""),"Missing required fields",IF(COUNTIFS($A$6:$A$101,A17,$B$6:$B$101,B17)&gt;1,"Duplicate term",IF(D17&lt;C17,"Term end before start",IF(AND(OR(E17&lt;&gt;"",F17&lt;&gt;""),OR(E17="",F17="")),"Complete both instruction dates",IF(AND(E17&lt;&gt;"",F17&lt;&gt;"",F17&lt;E17),"Instruction end before start",IF(AND(E17&lt;&gt;"",F17&lt;&gt;"",OR(E17&lt;C17,F17&gt;D17)),"Instruction dates outside term","")))))))</f>
        <v/>
      </c>
    </row>
    <row r="18">
      <c r="A18" s="16" t="n"/>
      <c r="B18" s="16" t="n"/>
      <c r="C18" s="26" t="n"/>
      <c r="D18" s="26" t="n"/>
      <c r="E18" s="26" t="n"/>
      <c r="F18" s="26" t="n"/>
      <c r="G18" s="16" t="n"/>
      <c r="H18" s="16" t="n"/>
      <c r="I18" s="18">
        <f>IF(OR(C18="",D18=""),"",IF(D18&lt;C18,"",D18-C18+1))</f>
        <v/>
      </c>
      <c r="J18" s="18">
        <f>IF(COUNTA(A18:H18)=0,"",IF(OR(A18="",B18="",C18="",D18="",G18=""),"Missing required fields",IF(COUNTIFS($A$6:$A$101,A18,$B$6:$B$101,B18)&gt;1,"Duplicate term",IF(D18&lt;C18,"Term end before start",IF(AND(OR(E18&lt;&gt;"",F18&lt;&gt;""),OR(E18="",F18="")),"Complete both instruction dates",IF(AND(E18&lt;&gt;"",F18&lt;&gt;"",F18&lt;E18),"Instruction end before start",IF(AND(E18&lt;&gt;"",F18&lt;&gt;"",OR(E18&lt;C18,F18&gt;D18)),"Instruction dates outside term","")))))))</f>
        <v/>
      </c>
    </row>
    <row r="19">
      <c r="A19" s="16" t="n"/>
      <c r="B19" s="16" t="n"/>
      <c r="C19" s="26" t="n"/>
      <c r="D19" s="26" t="n"/>
      <c r="E19" s="26" t="n"/>
      <c r="F19" s="26" t="n"/>
      <c r="G19" s="16" t="n"/>
      <c r="H19" s="16" t="n"/>
      <c r="I19" s="18">
        <f>IF(OR(C19="",D19=""),"",IF(D19&lt;C19,"",D19-C19+1))</f>
        <v/>
      </c>
      <c r="J19" s="18">
        <f>IF(COUNTA(A19:H19)=0,"",IF(OR(A19="",B19="",C19="",D19="",G19=""),"Missing required fields",IF(COUNTIFS($A$6:$A$101,A19,$B$6:$B$101,B19)&gt;1,"Duplicate term",IF(D19&lt;C19,"Term end before start",IF(AND(OR(E19&lt;&gt;"",F19&lt;&gt;""),OR(E19="",F19="")),"Complete both instruction dates",IF(AND(E19&lt;&gt;"",F19&lt;&gt;"",F19&lt;E19),"Instruction end before start",IF(AND(E19&lt;&gt;"",F19&lt;&gt;"",OR(E19&lt;C19,F19&gt;D19)),"Instruction dates outside term","")))))))</f>
        <v/>
      </c>
    </row>
    <row r="20">
      <c r="A20" s="16" t="n"/>
      <c r="B20" s="16" t="n"/>
      <c r="C20" s="26" t="n"/>
      <c r="D20" s="26" t="n"/>
      <c r="E20" s="26" t="n"/>
      <c r="F20" s="26" t="n"/>
      <c r="G20" s="16" t="n"/>
      <c r="H20" s="16" t="n"/>
      <c r="I20" s="18">
        <f>IF(OR(C20="",D20=""),"",IF(D20&lt;C20,"",D20-C20+1))</f>
        <v/>
      </c>
      <c r="J20" s="18">
        <f>IF(COUNTA(A20:H20)=0,"",IF(OR(A20="",B20="",C20="",D20="",G20=""),"Missing required fields",IF(COUNTIFS($A$6:$A$101,A20,$B$6:$B$101,B20)&gt;1,"Duplicate term",IF(D20&lt;C20,"Term end before start",IF(AND(OR(E20&lt;&gt;"",F20&lt;&gt;""),OR(E20="",F20="")),"Complete both instruction dates",IF(AND(E20&lt;&gt;"",F20&lt;&gt;"",F20&lt;E20),"Instruction end before start",IF(AND(E20&lt;&gt;"",F20&lt;&gt;"",OR(E20&lt;C20,F20&gt;D20)),"Instruction dates outside term","")))))))</f>
        <v/>
      </c>
    </row>
    <row r="21">
      <c r="A21" s="16" t="n"/>
      <c r="B21" s="16" t="n"/>
      <c r="C21" s="26" t="n"/>
      <c r="D21" s="26" t="n"/>
      <c r="E21" s="26" t="n"/>
      <c r="F21" s="26" t="n"/>
      <c r="G21" s="16" t="n"/>
      <c r="H21" s="16" t="n"/>
      <c r="I21" s="18">
        <f>IF(OR(C21="",D21=""),"",IF(D21&lt;C21,"",D21-C21+1))</f>
        <v/>
      </c>
      <c r="J21" s="18">
        <f>IF(COUNTA(A21:H21)=0,"",IF(OR(A21="",B21="",C21="",D21="",G21=""),"Missing required fields",IF(COUNTIFS($A$6:$A$101,A21,$B$6:$B$101,B21)&gt;1,"Duplicate term",IF(D21&lt;C21,"Term end before start",IF(AND(OR(E21&lt;&gt;"",F21&lt;&gt;""),OR(E21="",F21="")),"Complete both instruction dates",IF(AND(E21&lt;&gt;"",F21&lt;&gt;"",F21&lt;E21),"Instruction end before start",IF(AND(E21&lt;&gt;"",F21&lt;&gt;"",OR(E21&lt;C21,F21&gt;D21)),"Instruction dates outside term","")))))))</f>
        <v/>
      </c>
    </row>
    <row r="22">
      <c r="A22" s="16" t="n"/>
      <c r="B22" s="16" t="n"/>
      <c r="C22" s="26" t="n"/>
      <c r="D22" s="26" t="n"/>
      <c r="E22" s="26" t="n"/>
      <c r="F22" s="26" t="n"/>
      <c r="G22" s="16" t="n"/>
      <c r="H22" s="16" t="n"/>
      <c r="I22" s="18">
        <f>IF(OR(C22="",D22=""),"",IF(D22&lt;C22,"",D22-C22+1))</f>
        <v/>
      </c>
      <c r="J22" s="18">
        <f>IF(COUNTA(A22:H22)=0,"",IF(OR(A22="",B22="",C22="",D22="",G22=""),"Missing required fields",IF(COUNTIFS($A$6:$A$101,A22,$B$6:$B$101,B22)&gt;1,"Duplicate term",IF(D22&lt;C22,"Term end before start",IF(AND(OR(E22&lt;&gt;"",F22&lt;&gt;""),OR(E22="",F22="")),"Complete both instruction dates",IF(AND(E22&lt;&gt;"",F22&lt;&gt;"",F22&lt;E22),"Instruction end before start",IF(AND(E22&lt;&gt;"",F22&lt;&gt;"",OR(E22&lt;C22,F22&gt;D22)),"Instruction dates outside term","")))))))</f>
        <v/>
      </c>
    </row>
    <row r="23">
      <c r="A23" s="16" t="n"/>
      <c r="B23" s="16" t="n"/>
      <c r="C23" s="26" t="n"/>
      <c r="D23" s="26" t="n"/>
      <c r="E23" s="26" t="n"/>
      <c r="F23" s="26" t="n"/>
      <c r="G23" s="16" t="n"/>
      <c r="H23" s="16" t="n"/>
      <c r="I23" s="18">
        <f>IF(OR(C23="",D23=""),"",IF(D23&lt;C23,"",D23-C23+1))</f>
        <v/>
      </c>
      <c r="J23" s="18">
        <f>IF(COUNTA(A23:H23)=0,"",IF(OR(A23="",B23="",C23="",D23="",G23=""),"Missing required fields",IF(COUNTIFS($A$6:$A$101,A23,$B$6:$B$101,B23)&gt;1,"Duplicate term",IF(D23&lt;C23,"Term end before start",IF(AND(OR(E23&lt;&gt;"",F23&lt;&gt;""),OR(E23="",F23="")),"Complete both instruction dates",IF(AND(E23&lt;&gt;"",F23&lt;&gt;"",F23&lt;E23),"Instruction end before start",IF(AND(E23&lt;&gt;"",F23&lt;&gt;"",OR(E23&lt;C23,F23&gt;D23)),"Instruction dates outside term","")))))))</f>
        <v/>
      </c>
    </row>
    <row r="24">
      <c r="A24" s="16" t="n"/>
      <c r="B24" s="16" t="n"/>
      <c r="C24" s="26" t="n"/>
      <c r="D24" s="26" t="n"/>
      <c r="E24" s="26" t="n"/>
      <c r="F24" s="26" t="n"/>
      <c r="G24" s="16" t="n"/>
      <c r="H24" s="16" t="n"/>
      <c r="I24" s="18">
        <f>IF(OR(C24="",D24=""),"",IF(D24&lt;C24,"",D24-C24+1))</f>
        <v/>
      </c>
      <c r="J24" s="18">
        <f>IF(COUNTA(A24:H24)=0,"",IF(OR(A24="",B24="",C24="",D24="",G24=""),"Missing required fields",IF(COUNTIFS($A$6:$A$101,A24,$B$6:$B$101,B24)&gt;1,"Duplicate term",IF(D24&lt;C24,"Term end before start",IF(AND(OR(E24&lt;&gt;"",F24&lt;&gt;""),OR(E24="",F24="")),"Complete both instruction dates",IF(AND(E24&lt;&gt;"",F24&lt;&gt;"",F24&lt;E24),"Instruction end before start",IF(AND(E24&lt;&gt;"",F24&lt;&gt;"",OR(E24&lt;C24,F24&gt;D24)),"Instruction dates outside term","")))))))</f>
        <v/>
      </c>
    </row>
    <row r="25">
      <c r="A25" s="16" t="n"/>
      <c r="B25" s="16" t="n"/>
      <c r="C25" s="26" t="n"/>
      <c r="D25" s="26" t="n"/>
      <c r="E25" s="26" t="n"/>
      <c r="F25" s="26" t="n"/>
      <c r="G25" s="16" t="n"/>
      <c r="H25" s="16" t="n"/>
      <c r="I25" s="18">
        <f>IF(OR(C25="",D25=""),"",IF(D25&lt;C25,"",D25-C25+1))</f>
        <v/>
      </c>
      <c r="J25" s="18">
        <f>IF(COUNTA(A25:H25)=0,"",IF(OR(A25="",B25="",C25="",D25="",G25=""),"Missing required fields",IF(COUNTIFS($A$6:$A$101,A25,$B$6:$B$101,B25)&gt;1,"Duplicate term",IF(D25&lt;C25,"Term end before start",IF(AND(OR(E25&lt;&gt;"",F25&lt;&gt;""),OR(E25="",F25="")),"Complete both instruction dates",IF(AND(E25&lt;&gt;"",F25&lt;&gt;"",F25&lt;E25),"Instruction end before start",IF(AND(E25&lt;&gt;"",F25&lt;&gt;"",OR(E25&lt;C25,F25&gt;D25)),"Instruction dates outside term","")))))))</f>
        <v/>
      </c>
    </row>
    <row r="26">
      <c r="A26" s="16" t="n"/>
      <c r="B26" s="16" t="n"/>
      <c r="C26" s="26" t="n"/>
      <c r="D26" s="26" t="n"/>
      <c r="E26" s="26" t="n"/>
      <c r="F26" s="26" t="n"/>
      <c r="G26" s="16" t="n"/>
      <c r="H26" s="16" t="n"/>
      <c r="I26" s="18">
        <f>IF(OR(C26="",D26=""),"",IF(D26&lt;C26,"",D26-C26+1))</f>
        <v/>
      </c>
      <c r="J26" s="18">
        <f>IF(COUNTA(A26:H26)=0,"",IF(OR(A26="",B26="",C26="",D26="",G26=""),"Missing required fields",IF(COUNTIFS($A$6:$A$101,A26,$B$6:$B$101,B26)&gt;1,"Duplicate term",IF(D26&lt;C26,"Term end before start",IF(AND(OR(E26&lt;&gt;"",F26&lt;&gt;""),OR(E26="",F26="")),"Complete both instruction dates",IF(AND(E26&lt;&gt;"",F26&lt;&gt;"",F26&lt;E26),"Instruction end before start",IF(AND(E26&lt;&gt;"",F26&lt;&gt;"",OR(E26&lt;C26,F26&gt;D26)),"Instruction dates outside term","")))))))</f>
        <v/>
      </c>
    </row>
    <row r="27">
      <c r="A27" s="16" t="n"/>
      <c r="B27" s="16" t="n"/>
      <c r="C27" s="26" t="n"/>
      <c r="D27" s="26" t="n"/>
      <c r="E27" s="26" t="n"/>
      <c r="F27" s="26" t="n"/>
      <c r="G27" s="16" t="n"/>
      <c r="H27" s="16" t="n"/>
      <c r="I27" s="18">
        <f>IF(OR(C27="",D27=""),"",IF(D27&lt;C27,"",D27-C27+1))</f>
        <v/>
      </c>
      <c r="J27" s="18">
        <f>IF(COUNTA(A27:H27)=0,"",IF(OR(A27="",B27="",C27="",D27="",G27=""),"Missing required fields",IF(COUNTIFS($A$6:$A$101,A27,$B$6:$B$101,B27)&gt;1,"Duplicate term",IF(D27&lt;C27,"Term end before start",IF(AND(OR(E27&lt;&gt;"",F27&lt;&gt;""),OR(E27="",F27="")),"Complete both instruction dates",IF(AND(E27&lt;&gt;"",F27&lt;&gt;"",F27&lt;E27),"Instruction end before start",IF(AND(E27&lt;&gt;"",F27&lt;&gt;"",OR(E27&lt;C27,F27&gt;D27)),"Instruction dates outside term","")))))))</f>
        <v/>
      </c>
    </row>
    <row r="28">
      <c r="A28" s="16" t="n"/>
      <c r="B28" s="16" t="n"/>
      <c r="C28" s="26" t="n"/>
      <c r="D28" s="26" t="n"/>
      <c r="E28" s="26" t="n"/>
      <c r="F28" s="26" t="n"/>
      <c r="G28" s="16" t="n"/>
      <c r="H28" s="16" t="n"/>
      <c r="I28" s="18">
        <f>IF(OR(C28="",D28=""),"",IF(D28&lt;C28,"",D28-C28+1))</f>
        <v/>
      </c>
      <c r="J28" s="18">
        <f>IF(COUNTA(A28:H28)=0,"",IF(OR(A28="",B28="",C28="",D28="",G28=""),"Missing required fields",IF(COUNTIFS($A$6:$A$101,A28,$B$6:$B$101,B28)&gt;1,"Duplicate term",IF(D28&lt;C28,"Term end before start",IF(AND(OR(E28&lt;&gt;"",F28&lt;&gt;""),OR(E28="",F28="")),"Complete both instruction dates",IF(AND(E28&lt;&gt;"",F28&lt;&gt;"",F28&lt;E28),"Instruction end before start",IF(AND(E28&lt;&gt;"",F28&lt;&gt;"",OR(E28&lt;C28,F28&gt;D28)),"Instruction dates outside term","")))))))</f>
        <v/>
      </c>
    </row>
    <row r="29">
      <c r="A29" s="16" t="n"/>
      <c r="B29" s="16" t="n"/>
      <c r="C29" s="26" t="n"/>
      <c r="D29" s="26" t="n"/>
      <c r="E29" s="26" t="n"/>
      <c r="F29" s="26" t="n"/>
      <c r="G29" s="16" t="n"/>
      <c r="H29" s="16" t="n"/>
      <c r="I29" s="18">
        <f>IF(OR(C29="",D29=""),"",IF(D29&lt;C29,"",D29-C29+1))</f>
        <v/>
      </c>
      <c r="J29" s="18">
        <f>IF(COUNTA(A29:H29)=0,"",IF(OR(A29="",B29="",C29="",D29="",G29=""),"Missing required fields",IF(COUNTIFS($A$6:$A$101,A29,$B$6:$B$101,B29)&gt;1,"Duplicate term",IF(D29&lt;C29,"Term end before start",IF(AND(OR(E29&lt;&gt;"",F29&lt;&gt;""),OR(E29="",F29="")),"Complete both instruction dates",IF(AND(E29&lt;&gt;"",F29&lt;&gt;"",F29&lt;E29),"Instruction end before start",IF(AND(E29&lt;&gt;"",F29&lt;&gt;"",OR(E29&lt;C29,F29&gt;D29)),"Instruction dates outside term","")))))))</f>
        <v/>
      </c>
    </row>
    <row r="30">
      <c r="A30" s="16" t="n"/>
      <c r="B30" s="16" t="n"/>
      <c r="C30" s="26" t="n"/>
      <c r="D30" s="26" t="n"/>
      <c r="E30" s="26" t="n"/>
      <c r="F30" s="26" t="n"/>
      <c r="G30" s="16" t="n"/>
      <c r="H30" s="16" t="n"/>
      <c r="I30" s="18">
        <f>IF(OR(C30="",D30=""),"",IF(D30&lt;C30,"",D30-C30+1))</f>
        <v/>
      </c>
      <c r="J30" s="18">
        <f>IF(COUNTA(A30:H30)=0,"",IF(OR(A30="",B30="",C30="",D30="",G30=""),"Missing required fields",IF(COUNTIFS($A$6:$A$101,A30,$B$6:$B$101,B30)&gt;1,"Duplicate term",IF(D30&lt;C30,"Term end before start",IF(AND(OR(E30&lt;&gt;"",F30&lt;&gt;""),OR(E30="",F30="")),"Complete both instruction dates",IF(AND(E30&lt;&gt;"",F30&lt;&gt;"",F30&lt;E30),"Instruction end before start",IF(AND(E30&lt;&gt;"",F30&lt;&gt;"",OR(E30&lt;C30,F30&gt;D30)),"Instruction dates outside term","")))))))</f>
        <v/>
      </c>
    </row>
    <row r="31">
      <c r="A31" s="16" t="n"/>
      <c r="B31" s="16" t="n"/>
      <c r="C31" s="26" t="n"/>
      <c r="D31" s="26" t="n"/>
      <c r="E31" s="26" t="n"/>
      <c r="F31" s="26" t="n"/>
      <c r="G31" s="16" t="n"/>
      <c r="H31" s="16" t="n"/>
      <c r="I31" s="18">
        <f>IF(OR(C31="",D31=""),"",IF(D31&lt;C31,"",D31-C31+1))</f>
        <v/>
      </c>
      <c r="J31" s="18">
        <f>IF(COUNTA(A31:H31)=0,"",IF(OR(A31="",B31="",C31="",D31="",G31=""),"Missing required fields",IF(COUNTIFS($A$6:$A$101,A31,$B$6:$B$101,B31)&gt;1,"Duplicate term",IF(D31&lt;C31,"Term end before start",IF(AND(OR(E31&lt;&gt;"",F31&lt;&gt;""),OR(E31="",F31="")),"Complete both instruction dates",IF(AND(E31&lt;&gt;"",F31&lt;&gt;"",F31&lt;E31),"Instruction end before start",IF(AND(E31&lt;&gt;"",F31&lt;&gt;"",OR(E31&lt;C31,F31&gt;D31)),"Instruction dates outside term","")))))))</f>
        <v/>
      </c>
    </row>
    <row r="32">
      <c r="A32" s="16" t="n"/>
      <c r="B32" s="16" t="n"/>
      <c r="C32" s="26" t="n"/>
      <c r="D32" s="26" t="n"/>
      <c r="E32" s="26" t="n"/>
      <c r="F32" s="26" t="n"/>
      <c r="G32" s="16" t="n"/>
      <c r="H32" s="16" t="n"/>
      <c r="I32" s="18">
        <f>IF(OR(C32="",D32=""),"",IF(D32&lt;C32,"",D32-C32+1))</f>
        <v/>
      </c>
      <c r="J32" s="18">
        <f>IF(COUNTA(A32:H32)=0,"",IF(OR(A32="",B32="",C32="",D32="",G32=""),"Missing required fields",IF(COUNTIFS($A$6:$A$101,A32,$B$6:$B$101,B32)&gt;1,"Duplicate term",IF(D32&lt;C32,"Term end before start",IF(AND(OR(E32&lt;&gt;"",F32&lt;&gt;""),OR(E32="",F32="")),"Complete both instruction dates",IF(AND(E32&lt;&gt;"",F32&lt;&gt;"",F32&lt;E32),"Instruction end before start",IF(AND(E32&lt;&gt;"",F32&lt;&gt;"",OR(E32&lt;C32,F32&gt;D32)),"Instruction dates outside term","")))))))</f>
        <v/>
      </c>
    </row>
    <row r="33">
      <c r="A33" s="16" t="n"/>
      <c r="B33" s="16" t="n"/>
      <c r="C33" s="26" t="n"/>
      <c r="D33" s="26" t="n"/>
      <c r="E33" s="26" t="n"/>
      <c r="F33" s="26" t="n"/>
      <c r="G33" s="16" t="n"/>
      <c r="H33" s="16" t="n"/>
      <c r="I33" s="18">
        <f>IF(OR(C33="",D33=""),"",IF(D33&lt;C33,"",D33-C33+1))</f>
        <v/>
      </c>
      <c r="J33" s="18">
        <f>IF(COUNTA(A33:H33)=0,"",IF(OR(A33="",B33="",C33="",D33="",G33=""),"Missing required fields",IF(COUNTIFS($A$6:$A$101,A33,$B$6:$B$101,B33)&gt;1,"Duplicate term",IF(D33&lt;C33,"Term end before start",IF(AND(OR(E33&lt;&gt;"",F33&lt;&gt;""),OR(E33="",F33="")),"Complete both instruction dates",IF(AND(E33&lt;&gt;"",F33&lt;&gt;"",F33&lt;E33),"Instruction end before start",IF(AND(E33&lt;&gt;"",F33&lt;&gt;"",OR(E33&lt;C33,F33&gt;D33)),"Instruction dates outside term","")))))))</f>
        <v/>
      </c>
    </row>
    <row r="34">
      <c r="A34" s="16" t="n"/>
      <c r="B34" s="16" t="n"/>
      <c r="C34" s="26" t="n"/>
      <c r="D34" s="26" t="n"/>
      <c r="E34" s="26" t="n"/>
      <c r="F34" s="26" t="n"/>
      <c r="G34" s="16" t="n"/>
      <c r="H34" s="16" t="n"/>
      <c r="I34" s="18">
        <f>IF(OR(C34="",D34=""),"",IF(D34&lt;C34,"",D34-C34+1))</f>
        <v/>
      </c>
      <c r="J34" s="18">
        <f>IF(COUNTA(A34:H34)=0,"",IF(OR(A34="",B34="",C34="",D34="",G34=""),"Missing required fields",IF(COUNTIFS($A$6:$A$101,A34,$B$6:$B$101,B34)&gt;1,"Duplicate term",IF(D34&lt;C34,"Term end before start",IF(AND(OR(E34&lt;&gt;"",F34&lt;&gt;""),OR(E34="",F34="")),"Complete both instruction dates",IF(AND(E34&lt;&gt;"",F34&lt;&gt;"",F34&lt;E34),"Instruction end before start",IF(AND(E34&lt;&gt;"",F34&lt;&gt;"",OR(E34&lt;C34,F34&gt;D34)),"Instruction dates outside term","")))))))</f>
        <v/>
      </c>
    </row>
    <row r="35">
      <c r="A35" s="16" t="n"/>
      <c r="B35" s="16" t="n"/>
      <c r="C35" s="26" t="n"/>
      <c r="D35" s="26" t="n"/>
      <c r="E35" s="26" t="n"/>
      <c r="F35" s="26" t="n"/>
      <c r="G35" s="16" t="n"/>
      <c r="H35" s="16" t="n"/>
      <c r="I35" s="18">
        <f>IF(OR(C35="",D35=""),"",IF(D35&lt;C35,"",D35-C35+1))</f>
        <v/>
      </c>
      <c r="J35" s="18">
        <f>IF(COUNTA(A35:H35)=0,"",IF(OR(A35="",B35="",C35="",D35="",G35=""),"Missing required fields",IF(COUNTIFS($A$6:$A$101,A35,$B$6:$B$101,B35)&gt;1,"Duplicate term",IF(D35&lt;C35,"Term end before start",IF(AND(OR(E35&lt;&gt;"",F35&lt;&gt;""),OR(E35="",F35="")),"Complete both instruction dates",IF(AND(E35&lt;&gt;"",F35&lt;&gt;"",F35&lt;E35),"Instruction end before start",IF(AND(E35&lt;&gt;"",F35&lt;&gt;"",OR(E35&lt;C35,F35&gt;D35)),"Instruction dates outside term","")))))))</f>
        <v/>
      </c>
    </row>
    <row r="36">
      <c r="A36" s="16" t="n"/>
      <c r="B36" s="16" t="n"/>
      <c r="C36" s="26" t="n"/>
      <c r="D36" s="26" t="n"/>
      <c r="E36" s="26" t="n"/>
      <c r="F36" s="26" t="n"/>
      <c r="G36" s="16" t="n"/>
      <c r="H36" s="16" t="n"/>
      <c r="I36" s="18">
        <f>IF(OR(C36="",D36=""),"",IF(D36&lt;C36,"",D36-C36+1))</f>
        <v/>
      </c>
      <c r="J36" s="18">
        <f>IF(COUNTA(A36:H36)=0,"",IF(OR(A36="",B36="",C36="",D36="",G36=""),"Missing required fields",IF(COUNTIFS($A$6:$A$101,A36,$B$6:$B$101,B36)&gt;1,"Duplicate term",IF(D36&lt;C36,"Term end before start",IF(AND(OR(E36&lt;&gt;"",F36&lt;&gt;""),OR(E36="",F36="")),"Complete both instruction dates",IF(AND(E36&lt;&gt;"",F36&lt;&gt;"",F36&lt;E36),"Instruction end before start",IF(AND(E36&lt;&gt;"",F36&lt;&gt;"",OR(E36&lt;C36,F36&gt;D36)),"Instruction dates outside term","")))))))</f>
        <v/>
      </c>
    </row>
    <row r="37">
      <c r="A37" s="16" t="n"/>
      <c r="B37" s="16" t="n"/>
      <c r="C37" s="26" t="n"/>
      <c r="D37" s="26" t="n"/>
      <c r="E37" s="26" t="n"/>
      <c r="F37" s="26" t="n"/>
      <c r="G37" s="16" t="n"/>
      <c r="H37" s="16" t="n"/>
      <c r="I37" s="18">
        <f>IF(OR(C37="",D37=""),"",IF(D37&lt;C37,"",D37-C37+1))</f>
        <v/>
      </c>
      <c r="J37" s="18">
        <f>IF(COUNTA(A37:H37)=0,"",IF(OR(A37="",B37="",C37="",D37="",G37=""),"Missing required fields",IF(COUNTIFS($A$6:$A$101,A37,$B$6:$B$101,B37)&gt;1,"Duplicate term",IF(D37&lt;C37,"Term end before start",IF(AND(OR(E37&lt;&gt;"",F37&lt;&gt;""),OR(E37="",F37="")),"Complete both instruction dates",IF(AND(E37&lt;&gt;"",F37&lt;&gt;"",F37&lt;E37),"Instruction end before start",IF(AND(E37&lt;&gt;"",F37&lt;&gt;"",OR(E37&lt;C37,F37&gt;D37)),"Instruction dates outside term","")))))))</f>
        <v/>
      </c>
    </row>
    <row r="38">
      <c r="A38" s="16" t="n"/>
      <c r="B38" s="16" t="n"/>
      <c r="C38" s="26" t="n"/>
      <c r="D38" s="26" t="n"/>
      <c r="E38" s="26" t="n"/>
      <c r="F38" s="26" t="n"/>
      <c r="G38" s="16" t="n"/>
      <c r="H38" s="16" t="n"/>
      <c r="I38" s="18">
        <f>IF(OR(C38="",D38=""),"",IF(D38&lt;C38,"",D38-C38+1))</f>
        <v/>
      </c>
      <c r="J38" s="18">
        <f>IF(COUNTA(A38:H38)=0,"",IF(OR(A38="",B38="",C38="",D38="",G38=""),"Missing required fields",IF(COUNTIFS($A$6:$A$101,A38,$B$6:$B$101,B38)&gt;1,"Duplicate term",IF(D38&lt;C38,"Term end before start",IF(AND(OR(E38&lt;&gt;"",F38&lt;&gt;""),OR(E38="",F38="")),"Complete both instruction dates",IF(AND(E38&lt;&gt;"",F38&lt;&gt;"",F38&lt;E38),"Instruction end before start",IF(AND(E38&lt;&gt;"",F38&lt;&gt;"",OR(E38&lt;C38,F38&gt;D38)),"Instruction dates outside term","")))))))</f>
        <v/>
      </c>
    </row>
    <row r="39">
      <c r="A39" s="16" t="n"/>
      <c r="B39" s="16" t="n"/>
      <c r="C39" s="26" t="n"/>
      <c r="D39" s="26" t="n"/>
      <c r="E39" s="26" t="n"/>
      <c r="F39" s="26" t="n"/>
      <c r="G39" s="16" t="n"/>
      <c r="H39" s="16" t="n"/>
      <c r="I39" s="18">
        <f>IF(OR(C39="",D39=""),"",IF(D39&lt;C39,"",D39-C39+1))</f>
        <v/>
      </c>
      <c r="J39" s="18">
        <f>IF(COUNTA(A39:H39)=0,"",IF(OR(A39="",B39="",C39="",D39="",G39=""),"Missing required fields",IF(COUNTIFS($A$6:$A$101,A39,$B$6:$B$101,B39)&gt;1,"Duplicate term",IF(D39&lt;C39,"Term end before start",IF(AND(OR(E39&lt;&gt;"",F39&lt;&gt;""),OR(E39="",F39="")),"Complete both instruction dates",IF(AND(E39&lt;&gt;"",F39&lt;&gt;"",F39&lt;E39),"Instruction end before start",IF(AND(E39&lt;&gt;"",F39&lt;&gt;"",OR(E39&lt;C39,F39&gt;D39)),"Instruction dates outside term","")))))))</f>
        <v/>
      </c>
    </row>
    <row r="40">
      <c r="A40" s="16" t="n"/>
      <c r="B40" s="16" t="n"/>
      <c r="C40" s="26" t="n"/>
      <c r="D40" s="26" t="n"/>
      <c r="E40" s="26" t="n"/>
      <c r="F40" s="26" t="n"/>
      <c r="G40" s="16" t="n"/>
      <c r="H40" s="16" t="n"/>
      <c r="I40" s="18">
        <f>IF(OR(C40="",D40=""),"",IF(D40&lt;C40,"",D40-C40+1))</f>
        <v/>
      </c>
      <c r="J40" s="18">
        <f>IF(COUNTA(A40:H40)=0,"",IF(OR(A40="",B40="",C40="",D40="",G40=""),"Missing required fields",IF(COUNTIFS($A$6:$A$101,A40,$B$6:$B$101,B40)&gt;1,"Duplicate term",IF(D40&lt;C40,"Term end before start",IF(AND(OR(E40&lt;&gt;"",F40&lt;&gt;""),OR(E40="",F40="")),"Complete both instruction dates",IF(AND(E40&lt;&gt;"",F40&lt;&gt;"",F40&lt;E40),"Instruction end before start",IF(AND(E40&lt;&gt;"",F40&lt;&gt;"",OR(E40&lt;C40,F40&gt;D40)),"Instruction dates outside term","")))))))</f>
        <v/>
      </c>
    </row>
    <row r="41">
      <c r="A41" s="16" t="n"/>
      <c r="B41" s="16" t="n"/>
      <c r="C41" s="26" t="n"/>
      <c r="D41" s="26" t="n"/>
      <c r="E41" s="26" t="n"/>
      <c r="F41" s="26" t="n"/>
      <c r="G41" s="16" t="n"/>
      <c r="H41" s="16" t="n"/>
      <c r="I41" s="18">
        <f>IF(OR(C41="",D41=""),"",IF(D41&lt;C41,"",D41-C41+1))</f>
        <v/>
      </c>
      <c r="J41" s="18">
        <f>IF(COUNTA(A41:H41)=0,"",IF(OR(A41="",B41="",C41="",D41="",G41=""),"Missing required fields",IF(COUNTIFS($A$6:$A$101,A41,$B$6:$B$101,B41)&gt;1,"Duplicate term",IF(D41&lt;C41,"Term end before start",IF(AND(OR(E41&lt;&gt;"",F41&lt;&gt;""),OR(E41="",F41="")),"Complete both instruction dates",IF(AND(E41&lt;&gt;"",F41&lt;&gt;"",F41&lt;E41),"Instruction end before start",IF(AND(E41&lt;&gt;"",F41&lt;&gt;"",OR(E41&lt;C41,F41&gt;D41)),"Instruction dates outside term","")))))))</f>
        <v/>
      </c>
    </row>
    <row r="42">
      <c r="A42" s="16" t="n"/>
      <c r="B42" s="16" t="n"/>
      <c r="C42" s="26" t="n"/>
      <c r="D42" s="26" t="n"/>
      <c r="E42" s="26" t="n"/>
      <c r="F42" s="26" t="n"/>
      <c r="G42" s="16" t="n"/>
      <c r="H42" s="16" t="n"/>
      <c r="I42" s="18">
        <f>IF(OR(C42="",D42=""),"",IF(D42&lt;C42,"",D42-C42+1))</f>
        <v/>
      </c>
      <c r="J42" s="18">
        <f>IF(COUNTA(A42:H42)=0,"",IF(OR(A42="",B42="",C42="",D42="",G42=""),"Missing required fields",IF(COUNTIFS($A$6:$A$101,A42,$B$6:$B$101,B42)&gt;1,"Duplicate term",IF(D42&lt;C42,"Term end before start",IF(AND(OR(E42&lt;&gt;"",F42&lt;&gt;""),OR(E42="",F42="")),"Complete both instruction dates",IF(AND(E42&lt;&gt;"",F42&lt;&gt;"",F42&lt;E42),"Instruction end before start",IF(AND(E42&lt;&gt;"",F42&lt;&gt;"",OR(E42&lt;C42,F42&gt;D42)),"Instruction dates outside term","")))))))</f>
        <v/>
      </c>
    </row>
    <row r="43">
      <c r="A43" s="16" t="n"/>
      <c r="B43" s="16" t="n"/>
      <c r="C43" s="26" t="n"/>
      <c r="D43" s="26" t="n"/>
      <c r="E43" s="26" t="n"/>
      <c r="F43" s="26" t="n"/>
      <c r="G43" s="16" t="n"/>
      <c r="H43" s="16" t="n"/>
      <c r="I43" s="18">
        <f>IF(OR(C43="",D43=""),"",IF(D43&lt;C43,"",D43-C43+1))</f>
        <v/>
      </c>
      <c r="J43" s="18">
        <f>IF(COUNTA(A43:H43)=0,"",IF(OR(A43="",B43="",C43="",D43="",G43=""),"Missing required fields",IF(COUNTIFS($A$6:$A$101,A43,$B$6:$B$101,B43)&gt;1,"Duplicate term",IF(D43&lt;C43,"Term end before start",IF(AND(OR(E43&lt;&gt;"",F43&lt;&gt;""),OR(E43="",F43="")),"Complete both instruction dates",IF(AND(E43&lt;&gt;"",F43&lt;&gt;"",F43&lt;E43),"Instruction end before start",IF(AND(E43&lt;&gt;"",F43&lt;&gt;"",OR(E43&lt;C43,F43&gt;D43)),"Instruction dates outside term","")))))))</f>
        <v/>
      </c>
    </row>
    <row r="44">
      <c r="A44" s="16" t="n"/>
      <c r="B44" s="16" t="n"/>
      <c r="C44" s="26" t="n"/>
      <c r="D44" s="26" t="n"/>
      <c r="E44" s="26" t="n"/>
      <c r="F44" s="26" t="n"/>
      <c r="G44" s="16" t="n"/>
      <c r="H44" s="16" t="n"/>
      <c r="I44" s="18">
        <f>IF(OR(C44="",D44=""),"",IF(D44&lt;C44,"",D44-C44+1))</f>
        <v/>
      </c>
      <c r="J44" s="18">
        <f>IF(COUNTA(A44:H44)=0,"",IF(OR(A44="",B44="",C44="",D44="",G44=""),"Missing required fields",IF(COUNTIFS($A$6:$A$101,A44,$B$6:$B$101,B44)&gt;1,"Duplicate term",IF(D44&lt;C44,"Term end before start",IF(AND(OR(E44&lt;&gt;"",F44&lt;&gt;""),OR(E44="",F44="")),"Complete both instruction dates",IF(AND(E44&lt;&gt;"",F44&lt;&gt;"",F44&lt;E44),"Instruction end before start",IF(AND(E44&lt;&gt;"",F44&lt;&gt;"",OR(E44&lt;C44,F44&gt;D44)),"Instruction dates outside term","")))))))</f>
        <v/>
      </c>
    </row>
    <row r="45">
      <c r="A45" s="16" t="n"/>
      <c r="B45" s="16" t="n"/>
      <c r="C45" s="26" t="n"/>
      <c r="D45" s="26" t="n"/>
      <c r="E45" s="26" t="n"/>
      <c r="F45" s="26" t="n"/>
      <c r="G45" s="16" t="n"/>
      <c r="H45" s="16" t="n"/>
      <c r="I45" s="18">
        <f>IF(OR(C45="",D45=""),"",IF(D45&lt;C45,"",D45-C45+1))</f>
        <v/>
      </c>
      <c r="J45" s="18">
        <f>IF(COUNTA(A45:H45)=0,"",IF(OR(A45="",B45="",C45="",D45="",G45=""),"Missing required fields",IF(COUNTIFS($A$6:$A$101,A45,$B$6:$B$101,B45)&gt;1,"Duplicate term",IF(D45&lt;C45,"Term end before start",IF(AND(OR(E45&lt;&gt;"",F45&lt;&gt;""),OR(E45="",F45="")),"Complete both instruction dates",IF(AND(E45&lt;&gt;"",F45&lt;&gt;"",F45&lt;E45),"Instruction end before start",IF(AND(E45&lt;&gt;"",F45&lt;&gt;"",OR(E45&lt;C45,F45&gt;D45)),"Instruction dates outside term","")))))))</f>
        <v/>
      </c>
    </row>
    <row r="46">
      <c r="A46" s="16" t="n"/>
      <c r="B46" s="16" t="n"/>
      <c r="C46" s="26" t="n"/>
      <c r="D46" s="26" t="n"/>
      <c r="E46" s="26" t="n"/>
      <c r="F46" s="26" t="n"/>
      <c r="G46" s="16" t="n"/>
      <c r="H46" s="16" t="n"/>
      <c r="I46" s="18">
        <f>IF(OR(C46="",D46=""),"",IF(D46&lt;C46,"",D46-C46+1))</f>
        <v/>
      </c>
      <c r="J46" s="18">
        <f>IF(COUNTA(A46:H46)=0,"",IF(OR(A46="",B46="",C46="",D46="",G46=""),"Missing required fields",IF(COUNTIFS($A$6:$A$101,A46,$B$6:$B$101,B46)&gt;1,"Duplicate term",IF(D46&lt;C46,"Term end before start",IF(AND(OR(E46&lt;&gt;"",F46&lt;&gt;""),OR(E46="",F46="")),"Complete both instruction dates",IF(AND(E46&lt;&gt;"",F46&lt;&gt;"",F46&lt;E46),"Instruction end before start",IF(AND(E46&lt;&gt;"",F46&lt;&gt;"",OR(E46&lt;C46,F46&gt;D46)),"Instruction dates outside term","")))))))</f>
        <v/>
      </c>
    </row>
    <row r="47">
      <c r="A47" s="16" t="n"/>
      <c r="B47" s="16" t="n"/>
      <c r="C47" s="26" t="n"/>
      <c r="D47" s="26" t="n"/>
      <c r="E47" s="26" t="n"/>
      <c r="F47" s="26" t="n"/>
      <c r="G47" s="16" t="n"/>
      <c r="H47" s="16" t="n"/>
      <c r="I47" s="18">
        <f>IF(OR(C47="",D47=""),"",IF(D47&lt;C47,"",D47-C47+1))</f>
        <v/>
      </c>
      <c r="J47" s="18">
        <f>IF(COUNTA(A47:H47)=0,"",IF(OR(A47="",B47="",C47="",D47="",G47=""),"Missing required fields",IF(COUNTIFS($A$6:$A$101,A47,$B$6:$B$101,B47)&gt;1,"Duplicate term",IF(D47&lt;C47,"Term end before start",IF(AND(OR(E47&lt;&gt;"",F47&lt;&gt;""),OR(E47="",F47="")),"Complete both instruction dates",IF(AND(E47&lt;&gt;"",F47&lt;&gt;"",F47&lt;E47),"Instruction end before start",IF(AND(E47&lt;&gt;"",F47&lt;&gt;"",OR(E47&lt;C47,F47&gt;D47)),"Instruction dates outside term","")))))))</f>
        <v/>
      </c>
    </row>
    <row r="48">
      <c r="A48" s="16" t="n"/>
      <c r="B48" s="16" t="n"/>
      <c r="C48" s="26" t="n"/>
      <c r="D48" s="26" t="n"/>
      <c r="E48" s="26" t="n"/>
      <c r="F48" s="26" t="n"/>
      <c r="G48" s="16" t="n"/>
      <c r="H48" s="16" t="n"/>
      <c r="I48" s="18">
        <f>IF(OR(C48="",D48=""),"",IF(D48&lt;C48,"",D48-C48+1))</f>
        <v/>
      </c>
      <c r="J48" s="18">
        <f>IF(COUNTA(A48:H48)=0,"",IF(OR(A48="",B48="",C48="",D48="",G48=""),"Missing required fields",IF(COUNTIFS($A$6:$A$101,A48,$B$6:$B$101,B48)&gt;1,"Duplicate term",IF(D48&lt;C48,"Term end before start",IF(AND(OR(E48&lt;&gt;"",F48&lt;&gt;""),OR(E48="",F48="")),"Complete both instruction dates",IF(AND(E48&lt;&gt;"",F48&lt;&gt;"",F48&lt;E48),"Instruction end before start",IF(AND(E48&lt;&gt;"",F48&lt;&gt;"",OR(E48&lt;C48,F48&gt;D48)),"Instruction dates outside term","")))))))</f>
        <v/>
      </c>
    </row>
    <row r="49">
      <c r="A49" s="16" t="n"/>
      <c r="B49" s="16" t="n"/>
      <c r="C49" s="26" t="n"/>
      <c r="D49" s="26" t="n"/>
      <c r="E49" s="26" t="n"/>
      <c r="F49" s="26" t="n"/>
      <c r="G49" s="16" t="n"/>
      <c r="H49" s="16" t="n"/>
      <c r="I49" s="18">
        <f>IF(OR(C49="",D49=""),"",IF(D49&lt;C49,"",D49-C49+1))</f>
        <v/>
      </c>
      <c r="J49" s="18">
        <f>IF(COUNTA(A49:H49)=0,"",IF(OR(A49="",B49="",C49="",D49="",G49=""),"Missing required fields",IF(COUNTIFS($A$6:$A$101,A49,$B$6:$B$101,B49)&gt;1,"Duplicate term",IF(D49&lt;C49,"Term end before start",IF(AND(OR(E49&lt;&gt;"",F49&lt;&gt;""),OR(E49="",F49="")),"Complete both instruction dates",IF(AND(E49&lt;&gt;"",F49&lt;&gt;"",F49&lt;E49),"Instruction end before start",IF(AND(E49&lt;&gt;"",F49&lt;&gt;"",OR(E49&lt;C49,F49&gt;D49)),"Instruction dates outside term","")))))))</f>
        <v/>
      </c>
    </row>
    <row r="50">
      <c r="A50" s="16" t="n"/>
      <c r="B50" s="16" t="n"/>
      <c r="C50" s="26" t="n"/>
      <c r="D50" s="26" t="n"/>
      <c r="E50" s="26" t="n"/>
      <c r="F50" s="26" t="n"/>
      <c r="G50" s="16" t="n"/>
      <c r="H50" s="16" t="n"/>
      <c r="I50" s="18">
        <f>IF(OR(C50="",D50=""),"",IF(D50&lt;C50,"",D50-C50+1))</f>
        <v/>
      </c>
      <c r="J50" s="18">
        <f>IF(COUNTA(A50:H50)=0,"",IF(OR(A50="",B50="",C50="",D50="",G50=""),"Missing required fields",IF(COUNTIFS($A$6:$A$101,A50,$B$6:$B$101,B50)&gt;1,"Duplicate term",IF(D50&lt;C50,"Term end before start",IF(AND(OR(E50&lt;&gt;"",F50&lt;&gt;""),OR(E50="",F50="")),"Complete both instruction dates",IF(AND(E50&lt;&gt;"",F50&lt;&gt;"",F50&lt;E50),"Instruction end before start",IF(AND(E50&lt;&gt;"",F50&lt;&gt;"",OR(E50&lt;C50,F50&gt;D50)),"Instruction dates outside term","")))))))</f>
        <v/>
      </c>
    </row>
    <row r="51">
      <c r="A51" s="16" t="n"/>
      <c r="B51" s="16" t="n"/>
      <c r="C51" s="26" t="n"/>
      <c r="D51" s="26" t="n"/>
      <c r="E51" s="26" t="n"/>
      <c r="F51" s="26" t="n"/>
      <c r="G51" s="16" t="n"/>
      <c r="H51" s="16" t="n"/>
      <c r="I51" s="18">
        <f>IF(OR(C51="",D51=""),"",IF(D51&lt;C51,"",D51-C51+1))</f>
        <v/>
      </c>
      <c r="J51" s="18">
        <f>IF(COUNTA(A51:H51)=0,"",IF(OR(A51="",B51="",C51="",D51="",G51=""),"Missing required fields",IF(COUNTIFS($A$6:$A$101,A51,$B$6:$B$101,B51)&gt;1,"Duplicate term",IF(D51&lt;C51,"Term end before start",IF(AND(OR(E51&lt;&gt;"",F51&lt;&gt;""),OR(E51="",F51="")),"Complete both instruction dates",IF(AND(E51&lt;&gt;"",F51&lt;&gt;"",F51&lt;E51),"Instruction end before start",IF(AND(E51&lt;&gt;"",F51&lt;&gt;"",OR(E51&lt;C51,F51&gt;D51)),"Instruction dates outside term","")))))))</f>
        <v/>
      </c>
    </row>
    <row r="52">
      <c r="A52" s="16" t="n"/>
      <c r="B52" s="16" t="n"/>
      <c r="C52" s="26" t="n"/>
      <c r="D52" s="26" t="n"/>
      <c r="E52" s="26" t="n"/>
      <c r="F52" s="26" t="n"/>
      <c r="G52" s="16" t="n"/>
      <c r="H52" s="16" t="n"/>
      <c r="I52" s="18">
        <f>IF(OR(C52="",D52=""),"",IF(D52&lt;C52,"",D52-C52+1))</f>
        <v/>
      </c>
      <c r="J52" s="18">
        <f>IF(COUNTA(A52:H52)=0,"",IF(OR(A52="",B52="",C52="",D52="",G52=""),"Missing required fields",IF(COUNTIFS($A$6:$A$101,A52,$B$6:$B$101,B52)&gt;1,"Duplicate term",IF(D52&lt;C52,"Term end before start",IF(AND(OR(E52&lt;&gt;"",F52&lt;&gt;""),OR(E52="",F52="")),"Complete both instruction dates",IF(AND(E52&lt;&gt;"",F52&lt;&gt;"",F52&lt;E52),"Instruction end before start",IF(AND(E52&lt;&gt;"",F52&lt;&gt;"",OR(E52&lt;C52,F52&gt;D52)),"Instruction dates outside term","")))))))</f>
        <v/>
      </c>
    </row>
    <row r="53">
      <c r="A53" s="16" t="n"/>
      <c r="B53" s="16" t="n"/>
      <c r="C53" s="26" t="n"/>
      <c r="D53" s="26" t="n"/>
      <c r="E53" s="26" t="n"/>
      <c r="F53" s="26" t="n"/>
      <c r="G53" s="16" t="n"/>
      <c r="H53" s="16" t="n"/>
      <c r="I53" s="18">
        <f>IF(OR(C53="",D53=""),"",IF(D53&lt;C53,"",D53-C53+1))</f>
        <v/>
      </c>
      <c r="J53" s="18">
        <f>IF(COUNTA(A53:H53)=0,"",IF(OR(A53="",B53="",C53="",D53="",G53=""),"Missing required fields",IF(COUNTIFS($A$6:$A$101,A53,$B$6:$B$101,B53)&gt;1,"Duplicate term",IF(D53&lt;C53,"Term end before start",IF(AND(OR(E53&lt;&gt;"",F53&lt;&gt;""),OR(E53="",F53="")),"Complete both instruction dates",IF(AND(E53&lt;&gt;"",F53&lt;&gt;"",F53&lt;E53),"Instruction end before start",IF(AND(E53&lt;&gt;"",F53&lt;&gt;"",OR(E53&lt;C53,F53&gt;D53)),"Instruction dates outside term","")))))))</f>
        <v/>
      </c>
    </row>
    <row r="54">
      <c r="A54" s="16" t="n"/>
      <c r="B54" s="16" t="n"/>
      <c r="C54" s="26" t="n"/>
      <c r="D54" s="26" t="n"/>
      <c r="E54" s="26" t="n"/>
      <c r="F54" s="26" t="n"/>
      <c r="G54" s="16" t="n"/>
      <c r="H54" s="16" t="n"/>
      <c r="I54" s="18">
        <f>IF(OR(C54="",D54=""),"",IF(D54&lt;C54,"",D54-C54+1))</f>
        <v/>
      </c>
      <c r="J54" s="18">
        <f>IF(COUNTA(A54:H54)=0,"",IF(OR(A54="",B54="",C54="",D54="",G54=""),"Missing required fields",IF(COUNTIFS($A$6:$A$101,A54,$B$6:$B$101,B54)&gt;1,"Duplicate term",IF(D54&lt;C54,"Term end before start",IF(AND(OR(E54&lt;&gt;"",F54&lt;&gt;""),OR(E54="",F54="")),"Complete both instruction dates",IF(AND(E54&lt;&gt;"",F54&lt;&gt;"",F54&lt;E54),"Instruction end before start",IF(AND(E54&lt;&gt;"",F54&lt;&gt;"",OR(E54&lt;C54,F54&gt;D54)),"Instruction dates outside term","")))))))</f>
        <v/>
      </c>
    </row>
    <row r="55">
      <c r="A55" s="16" t="n"/>
      <c r="B55" s="16" t="n"/>
      <c r="C55" s="26" t="n"/>
      <c r="D55" s="26" t="n"/>
      <c r="E55" s="26" t="n"/>
      <c r="F55" s="26" t="n"/>
      <c r="G55" s="16" t="n"/>
      <c r="H55" s="16" t="n"/>
      <c r="I55" s="18">
        <f>IF(OR(C55="",D55=""),"",IF(D55&lt;C55,"",D55-C55+1))</f>
        <v/>
      </c>
      <c r="J55" s="18">
        <f>IF(COUNTA(A55:H55)=0,"",IF(OR(A55="",B55="",C55="",D55="",G55=""),"Missing required fields",IF(COUNTIFS($A$6:$A$101,A55,$B$6:$B$101,B55)&gt;1,"Duplicate term",IF(D55&lt;C55,"Term end before start",IF(AND(OR(E55&lt;&gt;"",F55&lt;&gt;""),OR(E55="",F55="")),"Complete both instruction dates",IF(AND(E55&lt;&gt;"",F55&lt;&gt;"",F55&lt;E55),"Instruction end before start",IF(AND(E55&lt;&gt;"",F55&lt;&gt;"",OR(E55&lt;C55,F55&gt;D55)),"Instruction dates outside term","")))))))</f>
        <v/>
      </c>
    </row>
    <row r="56">
      <c r="A56" s="16" t="n"/>
      <c r="B56" s="16" t="n"/>
      <c r="C56" s="26" t="n"/>
      <c r="D56" s="26" t="n"/>
      <c r="E56" s="26" t="n"/>
      <c r="F56" s="26" t="n"/>
      <c r="G56" s="16" t="n"/>
      <c r="H56" s="16" t="n"/>
      <c r="I56" s="18">
        <f>IF(OR(C56="",D56=""),"",IF(D56&lt;C56,"",D56-C56+1))</f>
        <v/>
      </c>
      <c r="J56" s="18">
        <f>IF(COUNTA(A56:H56)=0,"",IF(OR(A56="",B56="",C56="",D56="",G56=""),"Missing required fields",IF(COUNTIFS($A$6:$A$101,A56,$B$6:$B$101,B56)&gt;1,"Duplicate term",IF(D56&lt;C56,"Term end before start",IF(AND(OR(E56&lt;&gt;"",F56&lt;&gt;""),OR(E56="",F56="")),"Complete both instruction dates",IF(AND(E56&lt;&gt;"",F56&lt;&gt;"",F56&lt;E56),"Instruction end before start",IF(AND(E56&lt;&gt;"",F56&lt;&gt;"",OR(E56&lt;C56,F56&gt;D56)),"Instruction dates outside term","")))))))</f>
        <v/>
      </c>
    </row>
    <row r="57">
      <c r="A57" s="16" t="n"/>
      <c r="B57" s="16" t="n"/>
      <c r="C57" s="26" t="n"/>
      <c r="D57" s="26" t="n"/>
      <c r="E57" s="26" t="n"/>
      <c r="F57" s="26" t="n"/>
      <c r="G57" s="16" t="n"/>
      <c r="H57" s="16" t="n"/>
      <c r="I57" s="18">
        <f>IF(OR(C57="",D57=""),"",IF(D57&lt;C57,"",D57-C57+1))</f>
        <v/>
      </c>
      <c r="J57" s="18">
        <f>IF(COUNTA(A57:H57)=0,"",IF(OR(A57="",B57="",C57="",D57="",G57=""),"Missing required fields",IF(COUNTIFS($A$6:$A$101,A57,$B$6:$B$101,B57)&gt;1,"Duplicate term",IF(D57&lt;C57,"Term end before start",IF(AND(OR(E57&lt;&gt;"",F57&lt;&gt;""),OR(E57="",F57="")),"Complete both instruction dates",IF(AND(E57&lt;&gt;"",F57&lt;&gt;"",F57&lt;E57),"Instruction end before start",IF(AND(E57&lt;&gt;"",F57&lt;&gt;"",OR(E57&lt;C57,F57&gt;D57)),"Instruction dates outside term","")))))))</f>
        <v/>
      </c>
    </row>
    <row r="58">
      <c r="A58" s="16" t="n"/>
      <c r="B58" s="16" t="n"/>
      <c r="C58" s="26" t="n"/>
      <c r="D58" s="26" t="n"/>
      <c r="E58" s="26" t="n"/>
      <c r="F58" s="26" t="n"/>
      <c r="G58" s="16" t="n"/>
      <c r="H58" s="16" t="n"/>
      <c r="I58" s="18">
        <f>IF(OR(C58="",D58=""),"",IF(D58&lt;C58,"",D58-C58+1))</f>
        <v/>
      </c>
      <c r="J58" s="18">
        <f>IF(COUNTA(A58:H58)=0,"",IF(OR(A58="",B58="",C58="",D58="",G58=""),"Missing required fields",IF(COUNTIFS($A$6:$A$101,A58,$B$6:$B$101,B58)&gt;1,"Duplicate term",IF(D58&lt;C58,"Term end before start",IF(AND(OR(E58&lt;&gt;"",F58&lt;&gt;""),OR(E58="",F58="")),"Complete both instruction dates",IF(AND(E58&lt;&gt;"",F58&lt;&gt;"",F58&lt;E58),"Instruction end before start",IF(AND(E58&lt;&gt;"",F58&lt;&gt;"",OR(E58&lt;C58,F58&gt;D58)),"Instruction dates outside term","")))))))</f>
        <v/>
      </c>
    </row>
    <row r="59">
      <c r="A59" s="16" t="n"/>
      <c r="B59" s="16" t="n"/>
      <c r="C59" s="26" t="n"/>
      <c r="D59" s="26" t="n"/>
      <c r="E59" s="26" t="n"/>
      <c r="F59" s="26" t="n"/>
      <c r="G59" s="16" t="n"/>
      <c r="H59" s="16" t="n"/>
      <c r="I59" s="18">
        <f>IF(OR(C59="",D59=""),"",IF(D59&lt;C59,"",D59-C59+1))</f>
        <v/>
      </c>
      <c r="J59" s="18">
        <f>IF(COUNTA(A59:H59)=0,"",IF(OR(A59="",B59="",C59="",D59="",G59=""),"Missing required fields",IF(COUNTIFS($A$6:$A$101,A59,$B$6:$B$101,B59)&gt;1,"Duplicate term",IF(D59&lt;C59,"Term end before start",IF(AND(OR(E59&lt;&gt;"",F59&lt;&gt;""),OR(E59="",F59="")),"Complete both instruction dates",IF(AND(E59&lt;&gt;"",F59&lt;&gt;"",F59&lt;E59),"Instruction end before start",IF(AND(E59&lt;&gt;"",F59&lt;&gt;"",OR(E59&lt;C59,F59&gt;D59)),"Instruction dates outside term","")))))))</f>
        <v/>
      </c>
    </row>
    <row r="60">
      <c r="A60" s="16" t="n"/>
      <c r="B60" s="16" t="n"/>
      <c r="C60" s="26" t="n"/>
      <c r="D60" s="26" t="n"/>
      <c r="E60" s="26" t="n"/>
      <c r="F60" s="26" t="n"/>
      <c r="G60" s="16" t="n"/>
      <c r="H60" s="16" t="n"/>
      <c r="I60" s="18">
        <f>IF(OR(C60="",D60=""),"",IF(D60&lt;C60,"",D60-C60+1))</f>
        <v/>
      </c>
      <c r="J60" s="18">
        <f>IF(COUNTA(A60:H60)=0,"",IF(OR(A60="",B60="",C60="",D60="",G60=""),"Missing required fields",IF(COUNTIFS($A$6:$A$101,A60,$B$6:$B$101,B60)&gt;1,"Duplicate term",IF(D60&lt;C60,"Term end before start",IF(AND(OR(E60&lt;&gt;"",F60&lt;&gt;""),OR(E60="",F60="")),"Complete both instruction dates",IF(AND(E60&lt;&gt;"",F60&lt;&gt;"",F60&lt;E60),"Instruction end before start",IF(AND(E60&lt;&gt;"",F60&lt;&gt;"",OR(E60&lt;C60,F60&gt;D60)),"Instruction dates outside term","")))))))</f>
        <v/>
      </c>
    </row>
    <row r="61">
      <c r="A61" s="16" t="n"/>
      <c r="B61" s="16" t="n"/>
      <c r="C61" s="26" t="n"/>
      <c r="D61" s="26" t="n"/>
      <c r="E61" s="26" t="n"/>
      <c r="F61" s="26" t="n"/>
      <c r="G61" s="16" t="n"/>
      <c r="H61" s="16" t="n"/>
      <c r="I61" s="18">
        <f>IF(OR(C61="",D61=""),"",IF(D61&lt;C61,"",D61-C61+1))</f>
        <v/>
      </c>
      <c r="J61" s="18">
        <f>IF(COUNTA(A61:H61)=0,"",IF(OR(A61="",B61="",C61="",D61="",G61=""),"Missing required fields",IF(COUNTIFS($A$6:$A$101,A61,$B$6:$B$101,B61)&gt;1,"Duplicate term",IF(D61&lt;C61,"Term end before start",IF(AND(OR(E61&lt;&gt;"",F61&lt;&gt;""),OR(E61="",F61="")),"Complete both instruction dates",IF(AND(E61&lt;&gt;"",F61&lt;&gt;"",F61&lt;E61),"Instruction end before start",IF(AND(E61&lt;&gt;"",F61&lt;&gt;"",OR(E61&lt;C61,F61&gt;D61)),"Instruction dates outside term","")))))))</f>
        <v/>
      </c>
    </row>
    <row r="62">
      <c r="A62" s="16" t="n"/>
      <c r="B62" s="16" t="n"/>
      <c r="C62" s="26" t="n"/>
      <c r="D62" s="26" t="n"/>
      <c r="E62" s="26" t="n"/>
      <c r="F62" s="26" t="n"/>
      <c r="G62" s="16" t="n"/>
      <c r="H62" s="16" t="n"/>
      <c r="I62" s="18">
        <f>IF(OR(C62="",D62=""),"",IF(D62&lt;C62,"",D62-C62+1))</f>
        <v/>
      </c>
      <c r="J62" s="18">
        <f>IF(COUNTA(A62:H62)=0,"",IF(OR(A62="",B62="",C62="",D62="",G62=""),"Missing required fields",IF(COUNTIFS($A$6:$A$101,A62,$B$6:$B$101,B62)&gt;1,"Duplicate term",IF(D62&lt;C62,"Term end before start",IF(AND(OR(E62&lt;&gt;"",F62&lt;&gt;""),OR(E62="",F62="")),"Complete both instruction dates",IF(AND(E62&lt;&gt;"",F62&lt;&gt;"",F62&lt;E62),"Instruction end before start",IF(AND(E62&lt;&gt;"",F62&lt;&gt;"",OR(E62&lt;C62,F62&gt;D62)),"Instruction dates outside term","")))))))</f>
        <v/>
      </c>
    </row>
    <row r="63">
      <c r="A63" s="16" t="n"/>
      <c r="B63" s="16" t="n"/>
      <c r="C63" s="26" t="n"/>
      <c r="D63" s="26" t="n"/>
      <c r="E63" s="26" t="n"/>
      <c r="F63" s="26" t="n"/>
      <c r="G63" s="16" t="n"/>
      <c r="H63" s="16" t="n"/>
      <c r="I63" s="18">
        <f>IF(OR(C63="",D63=""),"",IF(D63&lt;C63,"",D63-C63+1))</f>
        <v/>
      </c>
      <c r="J63" s="18">
        <f>IF(COUNTA(A63:H63)=0,"",IF(OR(A63="",B63="",C63="",D63="",G63=""),"Missing required fields",IF(COUNTIFS($A$6:$A$101,A63,$B$6:$B$101,B63)&gt;1,"Duplicate term",IF(D63&lt;C63,"Term end before start",IF(AND(OR(E63&lt;&gt;"",F63&lt;&gt;""),OR(E63="",F63="")),"Complete both instruction dates",IF(AND(E63&lt;&gt;"",F63&lt;&gt;"",F63&lt;E63),"Instruction end before start",IF(AND(E63&lt;&gt;"",F63&lt;&gt;"",OR(E63&lt;C63,F63&gt;D63)),"Instruction dates outside term","")))))))</f>
        <v/>
      </c>
    </row>
    <row r="64">
      <c r="A64" s="16" t="n"/>
      <c r="B64" s="16" t="n"/>
      <c r="C64" s="26" t="n"/>
      <c r="D64" s="26" t="n"/>
      <c r="E64" s="26" t="n"/>
      <c r="F64" s="26" t="n"/>
      <c r="G64" s="16" t="n"/>
      <c r="H64" s="16" t="n"/>
      <c r="I64" s="18">
        <f>IF(OR(C64="",D64=""),"",IF(D64&lt;C64,"",D64-C64+1))</f>
        <v/>
      </c>
      <c r="J64" s="18">
        <f>IF(COUNTA(A64:H64)=0,"",IF(OR(A64="",B64="",C64="",D64="",G64=""),"Missing required fields",IF(COUNTIFS($A$6:$A$101,A64,$B$6:$B$101,B64)&gt;1,"Duplicate term",IF(D64&lt;C64,"Term end before start",IF(AND(OR(E64&lt;&gt;"",F64&lt;&gt;""),OR(E64="",F64="")),"Complete both instruction dates",IF(AND(E64&lt;&gt;"",F64&lt;&gt;"",F64&lt;E64),"Instruction end before start",IF(AND(E64&lt;&gt;"",F64&lt;&gt;"",OR(E64&lt;C64,F64&gt;D64)),"Instruction dates outside term","")))))))</f>
        <v/>
      </c>
    </row>
    <row r="65">
      <c r="A65" s="16" t="n"/>
      <c r="B65" s="16" t="n"/>
      <c r="C65" s="26" t="n"/>
      <c r="D65" s="26" t="n"/>
      <c r="E65" s="26" t="n"/>
      <c r="F65" s="26" t="n"/>
      <c r="G65" s="16" t="n"/>
      <c r="H65" s="16" t="n"/>
      <c r="I65" s="18">
        <f>IF(OR(C65="",D65=""),"",IF(D65&lt;C65,"",D65-C65+1))</f>
        <v/>
      </c>
      <c r="J65" s="18">
        <f>IF(COUNTA(A65:H65)=0,"",IF(OR(A65="",B65="",C65="",D65="",G65=""),"Missing required fields",IF(COUNTIFS($A$6:$A$101,A65,$B$6:$B$101,B65)&gt;1,"Duplicate term",IF(D65&lt;C65,"Term end before start",IF(AND(OR(E65&lt;&gt;"",F65&lt;&gt;""),OR(E65="",F65="")),"Complete both instruction dates",IF(AND(E65&lt;&gt;"",F65&lt;&gt;"",F65&lt;E65),"Instruction end before start",IF(AND(E65&lt;&gt;"",F65&lt;&gt;"",OR(E65&lt;C65,F65&gt;D65)),"Instruction dates outside term","")))))))</f>
        <v/>
      </c>
    </row>
    <row r="66">
      <c r="A66" s="16" t="n"/>
      <c r="B66" s="16" t="n"/>
      <c r="C66" s="26" t="n"/>
      <c r="D66" s="26" t="n"/>
      <c r="E66" s="26" t="n"/>
      <c r="F66" s="26" t="n"/>
      <c r="G66" s="16" t="n"/>
      <c r="H66" s="16" t="n"/>
      <c r="I66" s="18">
        <f>IF(OR(C66="",D66=""),"",IF(D66&lt;C66,"",D66-C66+1))</f>
        <v/>
      </c>
      <c r="J66" s="18">
        <f>IF(COUNTA(A66:H66)=0,"",IF(OR(A66="",B66="",C66="",D66="",G66=""),"Missing required fields",IF(COUNTIFS($A$6:$A$101,A66,$B$6:$B$101,B66)&gt;1,"Duplicate term",IF(D66&lt;C66,"Term end before start",IF(AND(OR(E66&lt;&gt;"",F66&lt;&gt;""),OR(E66="",F66="")),"Complete both instruction dates",IF(AND(E66&lt;&gt;"",F66&lt;&gt;"",F66&lt;E66),"Instruction end before start",IF(AND(E66&lt;&gt;"",F66&lt;&gt;"",OR(E66&lt;C66,F66&gt;D66)),"Instruction dates outside term","")))))))</f>
        <v/>
      </c>
    </row>
    <row r="67">
      <c r="A67" s="16" t="n"/>
      <c r="B67" s="16" t="n"/>
      <c r="C67" s="26" t="n"/>
      <c r="D67" s="26" t="n"/>
      <c r="E67" s="26" t="n"/>
      <c r="F67" s="26" t="n"/>
      <c r="G67" s="16" t="n"/>
      <c r="H67" s="16" t="n"/>
      <c r="I67" s="18">
        <f>IF(OR(C67="",D67=""),"",IF(D67&lt;C67,"",D67-C67+1))</f>
        <v/>
      </c>
      <c r="J67" s="18">
        <f>IF(COUNTA(A67:H67)=0,"",IF(OR(A67="",B67="",C67="",D67="",G67=""),"Missing required fields",IF(COUNTIFS($A$6:$A$101,A67,$B$6:$B$101,B67)&gt;1,"Duplicate term",IF(D67&lt;C67,"Term end before start",IF(AND(OR(E67&lt;&gt;"",F67&lt;&gt;""),OR(E67="",F67="")),"Complete both instruction dates",IF(AND(E67&lt;&gt;"",F67&lt;&gt;"",F67&lt;E67),"Instruction end before start",IF(AND(E67&lt;&gt;"",F67&lt;&gt;"",OR(E67&lt;C67,F67&gt;D67)),"Instruction dates outside term","")))))))</f>
        <v/>
      </c>
    </row>
    <row r="68">
      <c r="A68" s="16" t="n"/>
      <c r="B68" s="16" t="n"/>
      <c r="C68" s="26" t="n"/>
      <c r="D68" s="26" t="n"/>
      <c r="E68" s="26" t="n"/>
      <c r="F68" s="26" t="n"/>
      <c r="G68" s="16" t="n"/>
      <c r="H68" s="16" t="n"/>
      <c r="I68" s="18">
        <f>IF(OR(C68="",D68=""),"",IF(D68&lt;C68,"",D68-C68+1))</f>
        <v/>
      </c>
      <c r="J68" s="18">
        <f>IF(COUNTA(A68:H68)=0,"",IF(OR(A68="",B68="",C68="",D68="",G68=""),"Missing required fields",IF(COUNTIFS($A$6:$A$101,A68,$B$6:$B$101,B68)&gt;1,"Duplicate term",IF(D68&lt;C68,"Term end before start",IF(AND(OR(E68&lt;&gt;"",F68&lt;&gt;""),OR(E68="",F68="")),"Complete both instruction dates",IF(AND(E68&lt;&gt;"",F68&lt;&gt;"",F68&lt;E68),"Instruction end before start",IF(AND(E68&lt;&gt;"",F68&lt;&gt;"",OR(E68&lt;C68,F68&gt;D68)),"Instruction dates outside term","")))))))</f>
        <v/>
      </c>
    </row>
    <row r="69">
      <c r="A69" s="16" t="n"/>
      <c r="B69" s="16" t="n"/>
      <c r="C69" s="26" t="n"/>
      <c r="D69" s="26" t="n"/>
      <c r="E69" s="26" t="n"/>
      <c r="F69" s="26" t="n"/>
      <c r="G69" s="16" t="n"/>
      <c r="H69" s="16" t="n"/>
      <c r="I69" s="18">
        <f>IF(OR(C69="",D69=""),"",IF(D69&lt;C69,"",D69-C69+1))</f>
        <v/>
      </c>
      <c r="J69" s="18">
        <f>IF(COUNTA(A69:H69)=0,"",IF(OR(A69="",B69="",C69="",D69="",G69=""),"Missing required fields",IF(COUNTIFS($A$6:$A$101,A69,$B$6:$B$101,B69)&gt;1,"Duplicate term",IF(D69&lt;C69,"Term end before start",IF(AND(OR(E69&lt;&gt;"",F69&lt;&gt;""),OR(E69="",F69="")),"Complete both instruction dates",IF(AND(E69&lt;&gt;"",F69&lt;&gt;"",F69&lt;E69),"Instruction end before start",IF(AND(E69&lt;&gt;"",F69&lt;&gt;"",OR(E69&lt;C69,F69&gt;D69)),"Instruction dates outside term","")))))))</f>
        <v/>
      </c>
    </row>
    <row r="70">
      <c r="A70" s="16" t="n"/>
      <c r="B70" s="16" t="n"/>
      <c r="C70" s="26" t="n"/>
      <c r="D70" s="26" t="n"/>
      <c r="E70" s="26" t="n"/>
      <c r="F70" s="26" t="n"/>
      <c r="G70" s="16" t="n"/>
      <c r="H70" s="16" t="n"/>
      <c r="I70" s="18">
        <f>IF(OR(C70="",D70=""),"",IF(D70&lt;C70,"",D70-C70+1))</f>
        <v/>
      </c>
      <c r="J70" s="18">
        <f>IF(COUNTA(A70:H70)=0,"",IF(OR(A70="",B70="",C70="",D70="",G70=""),"Missing required fields",IF(COUNTIFS($A$6:$A$101,A70,$B$6:$B$101,B70)&gt;1,"Duplicate term",IF(D70&lt;C70,"Term end before start",IF(AND(OR(E70&lt;&gt;"",F70&lt;&gt;""),OR(E70="",F70="")),"Complete both instruction dates",IF(AND(E70&lt;&gt;"",F70&lt;&gt;"",F70&lt;E70),"Instruction end before start",IF(AND(E70&lt;&gt;"",F70&lt;&gt;"",OR(E70&lt;C70,F70&gt;D70)),"Instruction dates outside term","")))))))</f>
        <v/>
      </c>
    </row>
    <row r="71">
      <c r="A71" s="16" t="n"/>
      <c r="B71" s="16" t="n"/>
      <c r="C71" s="26" t="n"/>
      <c r="D71" s="26" t="n"/>
      <c r="E71" s="26" t="n"/>
      <c r="F71" s="26" t="n"/>
      <c r="G71" s="16" t="n"/>
      <c r="H71" s="16" t="n"/>
      <c r="I71" s="18">
        <f>IF(OR(C71="",D71=""),"",IF(D71&lt;C71,"",D71-C71+1))</f>
        <v/>
      </c>
      <c r="J71" s="18">
        <f>IF(COUNTA(A71:H71)=0,"",IF(OR(A71="",B71="",C71="",D71="",G71=""),"Missing required fields",IF(COUNTIFS($A$6:$A$101,A71,$B$6:$B$101,B71)&gt;1,"Duplicate term",IF(D71&lt;C71,"Term end before start",IF(AND(OR(E71&lt;&gt;"",F71&lt;&gt;""),OR(E71="",F71="")),"Complete both instruction dates",IF(AND(E71&lt;&gt;"",F71&lt;&gt;"",F71&lt;E71),"Instruction end before start",IF(AND(E71&lt;&gt;"",F71&lt;&gt;"",OR(E71&lt;C71,F71&gt;D71)),"Instruction dates outside term","")))))))</f>
        <v/>
      </c>
    </row>
    <row r="72">
      <c r="A72" s="16" t="n"/>
      <c r="B72" s="16" t="n"/>
      <c r="C72" s="26" t="n"/>
      <c r="D72" s="26" t="n"/>
      <c r="E72" s="26" t="n"/>
      <c r="F72" s="26" t="n"/>
      <c r="G72" s="16" t="n"/>
      <c r="H72" s="16" t="n"/>
      <c r="I72" s="18">
        <f>IF(OR(C72="",D72=""),"",IF(D72&lt;C72,"",D72-C72+1))</f>
        <v/>
      </c>
      <c r="J72" s="18">
        <f>IF(COUNTA(A72:H72)=0,"",IF(OR(A72="",B72="",C72="",D72="",G72=""),"Missing required fields",IF(COUNTIFS($A$6:$A$101,A72,$B$6:$B$101,B72)&gt;1,"Duplicate term",IF(D72&lt;C72,"Term end before start",IF(AND(OR(E72&lt;&gt;"",F72&lt;&gt;""),OR(E72="",F72="")),"Complete both instruction dates",IF(AND(E72&lt;&gt;"",F72&lt;&gt;"",F72&lt;E72),"Instruction end before start",IF(AND(E72&lt;&gt;"",F72&lt;&gt;"",OR(E72&lt;C72,F72&gt;D72)),"Instruction dates outside term","")))))))</f>
        <v/>
      </c>
    </row>
    <row r="73">
      <c r="A73" s="16" t="n"/>
      <c r="B73" s="16" t="n"/>
      <c r="C73" s="26" t="n"/>
      <c r="D73" s="26" t="n"/>
      <c r="E73" s="26" t="n"/>
      <c r="F73" s="26" t="n"/>
      <c r="G73" s="16" t="n"/>
      <c r="H73" s="16" t="n"/>
      <c r="I73" s="18">
        <f>IF(OR(C73="",D73=""),"",IF(D73&lt;C73,"",D73-C73+1))</f>
        <v/>
      </c>
      <c r="J73" s="18">
        <f>IF(COUNTA(A73:H73)=0,"",IF(OR(A73="",B73="",C73="",D73="",G73=""),"Missing required fields",IF(COUNTIFS($A$6:$A$101,A73,$B$6:$B$101,B73)&gt;1,"Duplicate term",IF(D73&lt;C73,"Term end before start",IF(AND(OR(E73&lt;&gt;"",F73&lt;&gt;""),OR(E73="",F73="")),"Complete both instruction dates",IF(AND(E73&lt;&gt;"",F73&lt;&gt;"",F73&lt;E73),"Instruction end before start",IF(AND(E73&lt;&gt;"",F73&lt;&gt;"",OR(E73&lt;C73,F73&gt;D73)),"Instruction dates outside term","")))))))</f>
        <v/>
      </c>
    </row>
    <row r="74">
      <c r="A74" s="16" t="n"/>
      <c r="B74" s="16" t="n"/>
      <c r="C74" s="26" t="n"/>
      <c r="D74" s="26" t="n"/>
      <c r="E74" s="26" t="n"/>
      <c r="F74" s="26" t="n"/>
      <c r="G74" s="16" t="n"/>
      <c r="H74" s="16" t="n"/>
      <c r="I74" s="18">
        <f>IF(OR(C74="",D74=""),"",IF(D74&lt;C74,"",D74-C74+1))</f>
        <v/>
      </c>
      <c r="J74" s="18">
        <f>IF(COUNTA(A74:H74)=0,"",IF(OR(A74="",B74="",C74="",D74="",G74=""),"Missing required fields",IF(COUNTIFS($A$6:$A$101,A74,$B$6:$B$101,B74)&gt;1,"Duplicate term",IF(D74&lt;C74,"Term end before start",IF(AND(OR(E74&lt;&gt;"",F74&lt;&gt;""),OR(E74="",F74="")),"Complete both instruction dates",IF(AND(E74&lt;&gt;"",F74&lt;&gt;"",F74&lt;E74),"Instruction end before start",IF(AND(E74&lt;&gt;"",F74&lt;&gt;"",OR(E74&lt;C74,F74&gt;D74)),"Instruction dates outside term","")))))))</f>
        <v/>
      </c>
    </row>
    <row r="75">
      <c r="A75" s="16" t="n"/>
      <c r="B75" s="16" t="n"/>
      <c r="C75" s="26" t="n"/>
      <c r="D75" s="26" t="n"/>
      <c r="E75" s="26" t="n"/>
      <c r="F75" s="26" t="n"/>
      <c r="G75" s="16" t="n"/>
      <c r="H75" s="16" t="n"/>
      <c r="I75" s="18">
        <f>IF(OR(C75="",D75=""),"",IF(D75&lt;C75,"",D75-C75+1))</f>
        <v/>
      </c>
      <c r="J75" s="18">
        <f>IF(COUNTA(A75:H75)=0,"",IF(OR(A75="",B75="",C75="",D75="",G75=""),"Missing required fields",IF(COUNTIFS($A$6:$A$101,A75,$B$6:$B$101,B75)&gt;1,"Duplicate term",IF(D75&lt;C75,"Term end before start",IF(AND(OR(E75&lt;&gt;"",F75&lt;&gt;""),OR(E75="",F75="")),"Complete both instruction dates",IF(AND(E75&lt;&gt;"",F75&lt;&gt;"",F75&lt;E75),"Instruction end before start",IF(AND(E75&lt;&gt;"",F75&lt;&gt;"",OR(E75&lt;C75,F75&gt;D75)),"Instruction dates outside term","")))))))</f>
        <v/>
      </c>
    </row>
    <row r="76">
      <c r="A76" s="16" t="n"/>
      <c r="B76" s="16" t="n"/>
      <c r="C76" s="26" t="n"/>
      <c r="D76" s="26" t="n"/>
      <c r="E76" s="26" t="n"/>
      <c r="F76" s="26" t="n"/>
      <c r="G76" s="16" t="n"/>
      <c r="H76" s="16" t="n"/>
      <c r="I76" s="18">
        <f>IF(OR(C76="",D76=""),"",IF(D76&lt;C76,"",D76-C76+1))</f>
        <v/>
      </c>
      <c r="J76" s="18">
        <f>IF(COUNTA(A76:H76)=0,"",IF(OR(A76="",B76="",C76="",D76="",G76=""),"Missing required fields",IF(COUNTIFS($A$6:$A$101,A76,$B$6:$B$101,B76)&gt;1,"Duplicate term",IF(D76&lt;C76,"Term end before start",IF(AND(OR(E76&lt;&gt;"",F76&lt;&gt;""),OR(E76="",F76="")),"Complete both instruction dates",IF(AND(E76&lt;&gt;"",F76&lt;&gt;"",F76&lt;E76),"Instruction end before start",IF(AND(E76&lt;&gt;"",F76&lt;&gt;"",OR(E76&lt;C76,F76&gt;D76)),"Instruction dates outside term","")))))))</f>
        <v/>
      </c>
    </row>
    <row r="77">
      <c r="A77" s="16" t="n"/>
      <c r="B77" s="16" t="n"/>
      <c r="C77" s="26" t="n"/>
      <c r="D77" s="26" t="n"/>
      <c r="E77" s="26" t="n"/>
      <c r="F77" s="26" t="n"/>
      <c r="G77" s="16" t="n"/>
      <c r="H77" s="16" t="n"/>
      <c r="I77" s="18">
        <f>IF(OR(C77="",D77=""),"",IF(D77&lt;C77,"",D77-C77+1))</f>
        <v/>
      </c>
      <c r="J77" s="18">
        <f>IF(COUNTA(A77:H77)=0,"",IF(OR(A77="",B77="",C77="",D77="",G77=""),"Missing required fields",IF(COUNTIFS($A$6:$A$101,A77,$B$6:$B$101,B77)&gt;1,"Duplicate term",IF(D77&lt;C77,"Term end before start",IF(AND(OR(E77&lt;&gt;"",F77&lt;&gt;""),OR(E77="",F77="")),"Complete both instruction dates",IF(AND(E77&lt;&gt;"",F77&lt;&gt;"",F77&lt;E77),"Instruction end before start",IF(AND(E77&lt;&gt;"",F77&lt;&gt;"",OR(E77&lt;C77,F77&gt;D77)),"Instruction dates outside term","")))))))</f>
        <v/>
      </c>
    </row>
    <row r="78">
      <c r="A78" s="16" t="n"/>
      <c r="B78" s="16" t="n"/>
      <c r="C78" s="26" t="n"/>
      <c r="D78" s="26" t="n"/>
      <c r="E78" s="26" t="n"/>
      <c r="F78" s="26" t="n"/>
      <c r="G78" s="16" t="n"/>
      <c r="H78" s="16" t="n"/>
      <c r="I78" s="18">
        <f>IF(OR(C78="",D78=""),"",IF(D78&lt;C78,"",D78-C78+1))</f>
        <v/>
      </c>
      <c r="J78" s="18">
        <f>IF(COUNTA(A78:H78)=0,"",IF(OR(A78="",B78="",C78="",D78="",G78=""),"Missing required fields",IF(COUNTIFS($A$6:$A$101,A78,$B$6:$B$101,B78)&gt;1,"Duplicate term",IF(D78&lt;C78,"Term end before start",IF(AND(OR(E78&lt;&gt;"",F78&lt;&gt;""),OR(E78="",F78="")),"Complete both instruction dates",IF(AND(E78&lt;&gt;"",F78&lt;&gt;"",F78&lt;E78),"Instruction end before start",IF(AND(E78&lt;&gt;"",F78&lt;&gt;"",OR(E78&lt;C78,F78&gt;D78)),"Instruction dates outside term","")))))))</f>
        <v/>
      </c>
    </row>
    <row r="79">
      <c r="A79" s="16" t="n"/>
      <c r="B79" s="16" t="n"/>
      <c r="C79" s="26" t="n"/>
      <c r="D79" s="26" t="n"/>
      <c r="E79" s="26" t="n"/>
      <c r="F79" s="26" t="n"/>
      <c r="G79" s="16" t="n"/>
      <c r="H79" s="16" t="n"/>
      <c r="I79" s="18">
        <f>IF(OR(C79="",D79=""),"",IF(D79&lt;C79,"",D79-C79+1))</f>
        <v/>
      </c>
      <c r="J79" s="18">
        <f>IF(COUNTA(A79:H79)=0,"",IF(OR(A79="",B79="",C79="",D79="",G79=""),"Missing required fields",IF(COUNTIFS($A$6:$A$101,A79,$B$6:$B$101,B79)&gt;1,"Duplicate term",IF(D79&lt;C79,"Term end before start",IF(AND(OR(E79&lt;&gt;"",F79&lt;&gt;""),OR(E79="",F79="")),"Complete both instruction dates",IF(AND(E79&lt;&gt;"",F79&lt;&gt;"",F79&lt;E79),"Instruction end before start",IF(AND(E79&lt;&gt;"",F79&lt;&gt;"",OR(E79&lt;C79,F79&gt;D79)),"Instruction dates outside term","")))))))</f>
        <v/>
      </c>
    </row>
    <row r="80">
      <c r="A80" s="16" t="n"/>
      <c r="B80" s="16" t="n"/>
      <c r="C80" s="26" t="n"/>
      <c r="D80" s="26" t="n"/>
      <c r="E80" s="26" t="n"/>
      <c r="F80" s="26" t="n"/>
      <c r="G80" s="16" t="n"/>
      <c r="H80" s="16" t="n"/>
      <c r="I80" s="18">
        <f>IF(OR(C80="",D80=""),"",IF(D80&lt;C80,"",D80-C80+1))</f>
        <v/>
      </c>
      <c r="J80" s="18">
        <f>IF(COUNTA(A80:H80)=0,"",IF(OR(A80="",B80="",C80="",D80="",G80=""),"Missing required fields",IF(COUNTIFS($A$6:$A$101,A80,$B$6:$B$101,B80)&gt;1,"Duplicate term",IF(D80&lt;C80,"Term end before start",IF(AND(OR(E80&lt;&gt;"",F80&lt;&gt;""),OR(E80="",F80="")),"Complete both instruction dates",IF(AND(E80&lt;&gt;"",F80&lt;&gt;"",F80&lt;E80),"Instruction end before start",IF(AND(E80&lt;&gt;"",F80&lt;&gt;"",OR(E80&lt;C80,F80&gt;D80)),"Instruction dates outside term","")))))))</f>
        <v/>
      </c>
    </row>
    <row r="81">
      <c r="A81" s="16" t="n"/>
      <c r="B81" s="16" t="n"/>
      <c r="C81" s="26" t="n"/>
      <c r="D81" s="26" t="n"/>
      <c r="E81" s="26" t="n"/>
      <c r="F81" s="26" t="n"/>
      <c r="G81" s="16" t="n"/>
      <c r="H81" s="16" t="n"/>
      <c r="I81" s="18">
        <f>IF(OR(C81="",D81=""),"",IF(D81&lt;C81,"",D81-C81+1))</f>
        <v/>
      </c>
      <c r="J81" s="18">
        <f>IF(COUNTA(A81:H81)=0,"",IF(OR(A81="",B81="",C81="",D81="",G81=""),"Missing required fields",IF(COUNTIFS($A$6:$A$101,A81,$B$6:$B$101,B81)&gt;1,"Duplicate term",IF(D81&lt;C81,"Term end before start",IF(AND(OR(E81&lt;&gt;"",F81&lt;&gt;""),OR(E81="",F81="")),"Complete both instruction dates",IF(AND(E81&lt;&gt;"",F81&lt;&gt;"",F81&lt;E81),"Instruction end before start",IF(AND(E81&lt;&gt;"",F81&lt;&gt;"",OR(E81&lt;C81,F81&gt;D81)),"Instruction dates outside term","")))))))</f>
        <v/>
      </c>
    </row>
    <row r="82">
      <c r="A82" s="16" t="n"/>
      <c r="B82" s="16" t="n"/>
      <c r="C82" s="26" t="n"/>
      <c r="D82" s="26" t="n"/>
      <c r="E82" s="26" t="n"/>
      <c r="F82" s="26" t="n"/>
      <c r="G82" s="16" t="n"/>
      <c r="H82" s="16" t="n"/>
      <c r="I82" s="18">
        <f>IF(OR(C82="",D82=""),"",IF(D82&lt;C82,"",D82-C82+1))</f>
        <v/>
      </c>
      <c r="J82" s="18">
        <f>IF(COUNTA(A82:H82)=0,"",IF(OR(A82="",B82="",C82="",D82="",G82=""),"Missing required fields",IF(COUNTIFS($A$6:$A$101,A82,$B$6:$B$101,B82)&gt;1,"Duplicate term",IF(D82&lt;C82,"Term end before start",IF(AND(OR(E82&lt;&gt;"",F82&lt;&gt;""),OR(E82="",F82="")),"Complete both instruction dates",IF(AND(E82&lt;&gt;"",F82&lt;&gt;"",F82&lt;E82),"Instruction end before start",IF(AND(E82&lt;&gt;"",F82&lt;&gt;"",OR(E82&lt;C82,F82&gt;D82)),"Instruction dates outside term","")))))))</f>
        <v/>
      </c>
    </row>
    <row r="83">
      <c r="A83" s="16" t="n"/>
      <c r="B83" s="16" t="n"/>
      <c r="C83" s="26" t="n"/>
      <c r="D83" s="26" t="n"/>
      <c r="E83" s="26" t="n"/>
      <c r="F83" s="26" t="n"/>
      <c r="G83" s="16" t="n"/>
      <c r="H83" s="16" t="n"/>
      <c r="I83" s="18">
        <f>IF(OR(C83="",D83=""),"",IF(D83&lt;C83,"",D83-C83+1))</f>
        <v/>
      </c>
      <c r="J83" s="18">
        <f>IF(COUNTA(A83:H83)=0,"",IF(OR(A83="",B83="",C83="",D83="",G83=""),"Missing required fields",IF(COUNTIFS($A$6:$A$101,A83,$B$6:$B$101,B83)&gt;1,"Duplicate term",IF(D83&lt;C83,"Term end before start",IF(AND(OR(E83&lt;&gt;"",F83&lt;&gt;""),OR(E83="",F83="")),"Complete both instruction dates",IF(AND(E83&lt;&gt;"",F83&lt;&gt;"",F83&lt;E83),"Instruction end before start",IF(AND(E83&lt;&gt;"",F83&lt;&gt;"",OR(E83&lt;C83,F83&gt;D83)),"Instruction dates outside term","")))))))</f>
        <v/>
      </c>
    </row>
    <row r="84">
      <c r="A84" s="16" t="n"/>
      <c r="B84" s="16" t="n"/>
      <c r="C84" s="26" t="n"/>
      <c r="D84" s="26" t="n"/>
      <c r="E84" s="26" t="n"/>
      <c r="F84" s="26" t="n"/>
      <c r="G84" s="16" t="n"/>
      <c r="H84" s="16" t="n"/>
      <c r="I84" s="18">
        <f>IF(OR(C84="",D84=""),"",IF(D84&lt;C84,"",D84-C84+1))</f>
        <v/>
      </c>
      <c r="J84" s="18">
        <f>IF(COUNTA(A84:H84)=0,"",IF(OR(A84="",B84="",C84="",D84="",G84=""),"Missing required fields",IF(COUNTIFS($A$6:$A$101,A84,$B$6:$B$101,B84)&gt;1,"Duplicate term",IF(D84&lt;C84,"Term end before start",IF(AND(OR(E84&lt;&gt;"",F84&lt;&gt;""),OR(E84="",F84="")),"Complete both instruction dates",IF(AND(E84&lt;&gt;"",F84&lt;&gt;"",F84&lt;E84),"Instruction end before start",IF(AND(E84&lt;&gt;"",F84&lt;&gt;"",OR(E84&lt;C84,F84&gt;D84)),"Instruction dates outside term","")))))))</f>
        <v/>
      </c>
    </row>
    <row r="85">
      <c r="A85" s="16" t="n"/>
      <c r="B85" s="16" t="n"/>
      <c r="C85" s="26" t="n"/>
      <c r="D85" s="26" t="n"/>
      <c r="E85" s="26" t="n"/>
      <c r="F85" s="26" t="n"/>
      <c r="G85" s="16" t="n"/>
      <c r="H85" s="16" t="n"/>
      <c r="I85" s="18">
        <f>IF(OR(C85="",D85=""),"",IF(D85&lt;C85,"",D85-C85+1))</f>
        <v/>
      </c>
      <c r="J85" s="18">
        <f>IF(COUNTA(A85:H85)=0,"",IF(OR(A85="",B85="",C85="",D85="",G85=""),"Missing required fields",IF(COUNTIFS($A$6:$A$101,A85,$B$6:$B$101,B85)&gt;1,"Duplicate term",IF(D85&lt;C85,"Term end before start",IF(AND(OR(E85&lt;&gt;"",F85&lt;&gt;""),OR(E85="",F85="")),"Complete both instruction dates",IF(AND(E85&lt;&gt;"",F85&lt;&gt;"",F85&lt;E85),"Instruction end before start",IF(AND(E85&lt;&gt;"",F85&lt;&gt;"",OR(E85&lt;C85,F85&gt;D85)),"Instruction dates outside term","")))))))</f>
        <v/>
      </c>
    </row>
    <row r="86">
      <c r="A86" s="16" t="n"/>
      <c r="B86" s="16" t="n"/>
      <c r="C86" s="26" t="n"/>
      <c r="D86" s="26" t="n"/>
      <c r="E86" s="26" t="n"/>
      <c r="F86" s="26" t="n"/>
      <c r="G86" s="16" t="n"/>
      <c r="H86" s="16" t="n"/>
      <c r="I86" s="18">
        <f>IF(OR(C86="",D86=""),"",IF(D86&lt;C86,"",D86-C86+1))</f>
        <v/>
      </c>
      <c r="J86" s="18">
        <f>IF(COUNTA(A86:H86)=0,"",IF(OR(A86="",B86="",C86="",D86="",G86=""),"Missing required fields",IF(COUNTIFS($A$6:$A$101,A86,$B$6:$B$101,B86)&gt;1,"Duplicate term",IF(D86&lt;C86,"Term end before start",IF(AND(OR(E86&lt;&gt;"",F86&lt;&gt;""),OR(E86="",F86="")),"Complete both instruction dates",IF(AND(E86&lt;&gt;"",F86&lt;&gt;"",F86&lt;E86),"Instruction end before start",IF(AND(E86&lt;&gt;"",F86&lt;&gt;"",OR(E86&lt;C86,F86&gt;D86)),"Instruction dates outside term","")))))))</f>
        <v/>
      </c>
    </row>
    <row r="87">
      <c r="A87" s="16" t="n"/>
      <c r="B87" s="16" t="n"/>
      <c r="C87" s="26" t="n"/>
      <c r="D87" s="26" t="n"/>
      <c r="E87" s="26" t="n"/>
      <c r="F87" s="26" t="n"/>
      <c r="G87" s="16" t="n"/>
      <c r="H87" s="16" t="n"/>
      <c r="I87" s="18">
        <f>IF(OR(C87="",D87=""),"",IF(D87&lt;C87,"",D87-C87+1))</f>
        <v/>
      </c>
      <c r="J87" s="18">
        <f>IF(COUNTA(A87:H87)=0,"",IF(OR(A87="",B87="",C87="",D87="",G87=""),"Missing required fields",IF(COUNTIFS($A$6:$A$101,A87,$B$6:$B$101,B87)&gt;1,"Duplicate term",IF(D87&lt;C87,"Term end before start",IF(AND(OR(E87&lt;&gt;"",F87&lt;&gt;""),OR(E87="",F87="")),"Complete both instruction dates",IF(AND(E87&lt;&gt;"",F87&lt;&gt;"",F87&lt;E87),"Instruction end before start",IF(AND(E87&lt;&gt;"",F87&lt;&gt;"",OR(E87&lt;C87,F87&gt;D87)),"Instruction dates outside term","")))))))</f>
        <v/>
      </c>
    </row>
    <row r="88">
      <c r="A88" s="16" t="n"/>
      <c r="B88" s="16" t="n"/>
      <c r="C88" s="26" t="n"/>
      <c r="D88" s="26" t="n"/>
      <c r="E88" s="26" t="n"/>
      <c r="F88" s="26" t="n"/>
      <c r="G88" s="16" t="n"/>
      <c r="H88" s="16" t="n"/>
      <c r="I88" s="18">
        <f>IF(OR(C88="",D88=""),"",IF(D88&lt;C88,"",D88-C88+1))</f>
        <v/>
      </c>
      <c r="J88" s="18">
        <f>IF(COUNTA(A88:H88)=0,"",IF(OR(A88="",B88="",C88="",D88="",G88=""),"Missing required fields",IF(COUNTIFS($A$6:$A$101,A88,$B$6:$B$101,B88)&gt;1,"Duplicate term",IF(D88&lt;C88,"Term end before start",IF(AND(OR(E88&lt;&gt;"",F88&lt;&gt;""),OR(E88="",F88="")),"Complete both instruction dates",IF(AND(E88&lt;&gt;"",F88&lt;&gt;"",F88&lt;E88),"Instruction end before start",IF(AND(E88&lt;&gt;"",F88&lt;&gt;"",OR(E88&lt;C88,F88&gt;D88)),"Instruction dates outside term","")))))))</f>
        <v/>
      </c>
    </row>
    <row r="89">
      <c r="A89" s="16" t="n"/>
      <c r="B89" s="16" t="n"/>
      <c r="C89" s="26" t="n"/>
      <c r="D89" s="26" t="n"/>
      <c r="E89" s="26" t="n"/>
      <c r="F89" s="26" t="n"/>
      <c r="G89" s="16" t="n"/>
      <c r="H89" s="16" t="n"/>
      <c r="I89" s="18">
        <f>IF(OR(C89="",D89=""),"",IF(D89&lt;C89,"",D89-C89+1))</f>
        <v/>
      </c>
      <c r="J89" s="18">
        <f>IF(COUNTA(A89:H89)=0,"",IF(OR(A89="",B89="",C89="",D89="",G89=""),"Missing required fields",IF(COUNTIFS($A$6:$A$101,A89,$B$6:$B$101,B89)&gt;1,"Duplicate term",IF(D89&lt;C89,"Term end before start",IF(AND(OR(E89&lt;&gt;"",F89&lt;&gt;""),OR(E89="",F89="")),"Complete both instruction dates",IF(AND(E89&lt;&gt;"",F89&lt;&gt;"",F89&lt;E89),"Instruction end before start",IF(AND(E89&lt;&gt;"",F89&lt;&gt;"",OR(E89&lt;C89,F89&gt;D89)),"Instruction dates outside term","")))))))</f>
        <v/>
      </c>
    </row>
    <row r="90">
      <c r="A90" s="16" t="n"/>
      <c r="B90" s="16" t="n"/>
      <c r="C90" s="26" t="n"/>
      <c r="D90" s="26" t="n"/>
      <c r="E90" s="26" t="n"/>
      <c r="F90" s="26" t="n"/>
      <c r="G90" s="16" t="n"/>
      <c r="H90" s="16" t="n"/>
      <c r="I90" s="18">
        <f>IF(OR(C90="",D90=""),"",IF(D90&lt;C90,"",D90-C90+1))</f>
        <v/>
      </c>
      <c r="J90" s="18">
        <f>IF(COUNTA(A90:H90)=0,"",IF(OR(A90="",B90="",C90="",D90="",G90=""),"Missing required fields",IF(COUNTIFS($A$6:$A$101,A90,$B$6:$B$101,B90)&gt;1,"Duplicate term",IF(D90&lt;C90,"Term end before start",IF(AND(OR(E90&lt;&gt;"",F90&lt;&gt;""),OR(E90="",F90="")),"Complete both instruction dates",IF(AND(E90&lt;&gt;"",F90&lt;&gt;"",F90&lt;E90),"Instruction end before start",IF(AND(E90&lt;&gt;"",F90&lt;&gt;"",OR(E90&lt;C90,F90&gt;D90)),"Instruction dates outside term","")))))))</f>
        <v/>
      </c>
    </row>
    <row r="91">
      <c r="A91" s="16" t="n"/>
      <c r="B91" s="16" t="n"/>
      <c r="C91" s="26" t="n"/>
      <c r="D91" s="26" t="n"/>
      <c r="E91" s="26" t="n"/>
      <c r="F91" s="26" t="n"/>
      <c r="G91" s="16" t="n"/>
      <c r="H91" s="16" t="n"/>
      <c r="I91" s="18">
        <f>IF(OR(C91="",D91=""),"",IF(D91&lt;C91,"",D91-C91+1))</f>
        <v/>
      </c>
      <c r="J91" s="18">
        <f>IF(COUNTA(A91:H91)=0,"",IF(OR(A91="",B91="",C91="",D91="",G91=""),"Missing required fields",IF(COUNTIFS($A$6:$A$101,A91,$B$6:$B$101,B91)&gt;1,"Duplicate term",IF(D91&lt;C91,"Term end before start",IF(AND(OR(E91&lt;&gt;"",F91&lt;&gt;""),OR(E91="",F91="")),"Complete both instruction dates",IF(AND(E91&lt;&gt;"",F91&lt;&gt;"",F91&lt;E91),"Instruction end before start",IF(AND(E91&lt;&gt;"",F91&lt;&gt;"",OR(E91&lt;C91,F91&gt;D91)),"Instruction dates outside term","")))))))</f>
        <v/>
      </c>
    </row>
    <row r="92">
      <c r="A92" s="16" t="n"/>
      <c r="B92" s="16" t="n"/>
      <c r="C92" s="26" t="n"/>
      <c r="D92" s="26" t="n"/>
      <c r="E92" s="26" t="n"/>
      <c r="F92" s="26" t="n"/>
      <c r="G92" s="16" t="n"/>
      <c r="H92" s="16" t="n"/>
      <c r="I92" s="18">
        <f>IF(OR(C92="",D92=""),"",IF(D92&lt;C92,"",D92-C92+1))</f>
        <v/>
      </c>
      <c r="J92" s="18">
        <f>IF(COUNTA(A92:H92)=0,"",IF(OR(A92="",B92="",C92="",D92="",G92=""),"Missing required fields",IF(COUNTIFS($A$6:$A$101,A92,$B$6:$B$101,B92)&gt;1,"Duplicate term",IF(D92&lt;C92,"Term end before start",IF(AND(OR(E92&lt;&gt;"",F92&lt;&gt;""),OR(E92="",F92="")),"Complete both instruction dates",IF(AND(E92&lt;&gt;"",F92&lt;&gt;"",F92&lt;E92),"Instruction end before start",IF(AND(E92&lt;&gt;"",F92&lt;&gt;"",OR(E92&lt;C92,F92&gt;D92)),"Instruction dates outside term","")))))))</f>
        <v/>
      </c>
    </row>
    <row r="93">
      <c r="A93" s="16" t="n"/>
      <c r="B93" s="16" t="n"/>
      <c r="C93" s="26" t="n"/>
      <c r="D93" s="26" t="n"/>
      <c r="E93" s="26" t="n"/>
      <c r="F93" s="26" t="n"/>
      <c r="G93" s="16" t="n"/>
      <c r="H93" s="16" t="n"/>
      <c r="I93" s="18">
        <f>IF(OR(C93="",D93=""),"",IF(D93&lt;C93,"",D93-C93+1))</f>
        <v/>
      </c>
      <c r="J93" s="18">
        <f>IF(COUNTA(A93:H93)=0,"",IF(OR(A93="",B93="",C93="",D93="",G93=""),"Missing required fields",IF(COUNTIFS($A$6:$A$101,A93,$B$6:$B$101,B93)&gt;1,"Duplicate term",IF(D93&lt;C93,"Term end before start",IF(AND(OR(E93&lt;&gt;"",F93&lt;&gt;""),OR(E93="",F93="")),"Complete both instruction dates",IF(AND(E93&lt;&gt;"",F93&lt;&gt;"",F93&lt;E93),"Instruction end before start",IF(AND(E93&lt;&gt;"",F93&lt;&gt;"",OR(E93&lt;C93,F93&gt;D93)),"Instruction dates outside term","")))))))</f>
        <v/>
      </c>
    </row>
    <row r="94">
      <c r="A94" s="16" t="n"/>
      <c r="B94" s="16" t="n"/>
      <c r="C94" s="26" t="n"/>
      <c r="D94" s="26" t="n"/>
      <c r="E94" s="26" t="n"/>
      <c r="F94" s="26" t="n"/>
      <c r="G94" s="16" t="n"/>
      <c r="H94" s="16" t="n"/>
      <c r="I94" s="18">
        <f>IF(OR(C94="",D94=""),"",IF(D94&lt;C94,"",D94-C94+1))</f>
        <v/>
      </c>
      <c r="J94" s="18">
        <f>IF(COUNTA(A94:H94)=0,"",IF(OR(A94="",B94="",C94="",D94="",G94=""),"Missing required fields",IF(COUNTIFS($A$6:$A$101,A94,$B$6:$B$101,B94)&gt;1,"Duplicate term",IF(D94&lt;C94,"Term end before start",IF(AND(OR(E94&lt;&gt;"",F94&lt;&gt;""),OR(E94="",F94="")),"Complete both instruction dates",IF(AND(E94&lt;&gt;"",F94&lt;&gt;"",F94&lt;E94),"Instruction end before start",IF(AND(E94&lt;&gt;"",F94&lt;&gt;"",OR(E94&lt;C94,F94&gt;D94)),"Instruction dates outside term","")))))))</f>
        <v/>
      </c>
    </row>
    <row r="95">
      <c r="A95" s="16" t="n"/>
      <c r="B95" s="16" t="n"/>
      <c r="C95" s="26" t="n"/>
      <c r="D95" s="26" t="n"/>
      <c r="E95" s="26" t="n"/>
      <c r="F95" s="26" t="n"/>
      <c r="G95" s="16" t="n"/>
      <c r="H95" s="16" t="n"/>
      <c r="I95" s="18">
        <f>IF(OR(C95="",D95=""),"",IF(D95&lt;C95,"",D95-C95+1))</f>
        <v/>
      </c>
      <c r="J95" s="18">
        <f>IF(COUNTA(A95:H95)=0,"",IF(OR(A95="",B95="",C95="",D95="",G95=""),"Missing required fields",IF(COUNTIFS($A$6:$A$101,A95,$B$6:$B$101,B95)&gt;1,"Duplicate term",IF(D95&lt;C95,"Term end before start",IF(AND(OR(E95&lt;&gt;"",F95&lt;&gt;""),OR(E95="",F95="")),"Complete both instruction dates",IF(AND(E95&lt;&gt;"",F95&lt;&gt;"",F95&lt;E95),"Instruction end before start",IF(AND(E95&lt;&gt;"",F95&lt;&gt;"",OR(E95&lt;C95,F95&gt;D95)),"Instruction dates outside term","")))))))</f>
        <v/>
      </c>
    </row>
    <row r="96">
      <c r="A96" s="16" t="n"/>
      <c r="B96" s="16" t="n"/>
      <c r="C96" s="26" t="n"/>
      <c r="D96" s="26" t="n"/>
      <c r="E96" s="26" t="n"/>
      <c r="F96" s="26" t="n"/>
      <c r="G96" s="16" t="n"/>
      <c r="H96" s="16" t="n"/>
      <c r="I96" s="18">
        <f>IF(OR(C96="",D96=""),"",IF(D96&lt;C96,"",D96-C96+1))</f>
        <v/>
      </c>
      <c r="J96" s="18">
        <f>IF(COUNTA(A96:H96)=0,"",IF(OR(A96="",B96="",C96="",D96="",G96=""),"Missing required fields",IF(COUNTIFS($A$6:$A$101,A96,$B$6:$B$101,B96)&gt;1,"Duplicate term",IF(D96&lt;C96,"Term end before start",IF(AND(OR(E96&lt;&gt;"",F96&lt;&gt;""),OR(E96="",F96="")),"Complete both instruction dates",IF(AND(E96&lt;&gt;"",F96&lt;&gt;"",F96&lt;E96),"Instruction end before start",IF(AND(E96&lt;&gt;"",F96&lt;&gt;"",OR(E96&lt;C96,F96&gt;D96)),"Instruction dates outside term","")))))))</f>
        <v/>
      </c>
    </row>
    <row r="97">
      <c r="A97" s="16" t="n"/>
      <c r="B97" s="16" t="n"/>
      <c r="C97" s="26" t="n"/>
      <c r="D97" s="26" t="n"/>
      <c r="E97" s="26" t="n"/>
      <c r="F97" s="26" t="n"/>
      <c r="G97" s="16" t="n"/>
      <c r="H97" s="16" t="n"/>
      <c r="I97" s="18">
        <f>IF(OR(C97="",D97=""),"",IF(D97&lt;C97,"",D97-C97+1))</f>
        <v/>
      </c>
      <c r="J97" s="18">
        <f>IF(COUNTA(A97:H97)=0,"",IF(OR(A97="",B97="",C97="",D97="",G97=""),"Missing required fields",IF(COUNTIFS($A$6:$A$101,A97,$B$6:$B$101,B97)&gt;1,"Duplicate term",IF(D97&lt;C97,"Term end before start",IF(AND(OR(E97&lt;&gt;"",F97&lt;&gt;""),OR(E97="",F97="")),"Complete both instruction dates",IF(AND(E97&lt;&gt;"",F97&lt;&gt;"",F97&lt;E97),"Instruction end before start",IF(AND(E97&lt;&gt;"",F97&lt;&gt;"",OR(E97&lt;C97,F97&gt;D97)),"Instruction dates outside term","")))))))</f>
        <v/>
      </c>
    </row>
    <row r="98">
      <c r="A98" s="16" t="n"/>
      <c r="B98" s="16" t="n"/>
      <c r="C98" s="26" t="n"/>
      <c r="D98" s="26" t="n"/>
      <c r="E98" s="26" t="n"/>
      <c r="F98" s="26" t="n"/>
      <c r="G98" s="16" t="n"/>
      <c r="H98" s="16" t="n"/>
      <c r="I98" s="18">
        <f>IF(OR(C98="",D98=""),"",IF(D98&lt;C98,"",D98-C98+1))</f>
        <v/>
      </c>
      <c r="J98" s="18">
        <f>IF(COUNTA(A98:H98)=0,"",IF(OR(A98="",B98="",C98="",D98="",G98=""),"Missing required fields",IF(COUNTIFS($A$6:$A$101,A98,$B$6:$B$101,B98)&gt;1,"Duplicate term",IF(D98&lt;C98,"Term end before start",IF(AND(OR(E98&lt;&gt;"",F98&lt;&gt;""),OR(E98="",F98="")),"Complete both instruction dates",IF(AND(E98&lt;&gt;"",F98&lt;&gt;"",F98&lt;E98),"Instruction end before start",IF(AND(E98&lt;&gt;"",F98&lt;&gt;"",OR(E98&lt;C98,F98&gt;D98)),"Instruction dates outside term","")))))))</f>
        <v/>
      </c>
    </row>
    <row r="99">
      <c r="A99" s="16" t="n"/>
      <c r="B99" s="16" t="n"/>
      <c r="C99" s="26" t="n"/>
      <c r="D99" s="26" t="n"/>
      <c r="E99" s="26" t="n"/>
      <c r="F99" s="26" t="n"/>
      <c r="G99" s="16" t="n"/>
      <c r="H99" s="16" t="n"/>
      <c r="I99" s="18">
        <f>IF(OR(C99="",D99=""),"",IF(D99&lt;C99,"",D99-C99+1))</f>
        <v/>
      </c>
      <c r="J99" s="18">
        <f>IF(COUNTA(A99:H99)=0,"",IF(OR(A99="",B99="",C99="",D99="",G99=""),"Missing required fields",IF(COUNTIFS($A$6:$A$101,A99,$B$6:$B$101,B99)&gt;1,"Duplicate term",IF(D99&lt;C99,"Term end before start",IF(AND(OR(E99&lt;&gt;"",F99&lt;&gt;""),OR(E99="",F99="")),"Complete both instruction dates",IF(AND(E99&lt;&gt;"",F99&lt;&gt;"",F99&lt;E99),"Instruction end before start",IF(AND(E99&lt;&gt;"",F99&lt;&gt;"",OR(E99&lt;C99,F99&gt;D99)),"Instruction dates outside term","")))))))</f>
        <v/>
      </c>
    </row>
    <row r="100">
      <c r="A100" s="16" t="n"/>
      <c r="B100" s="16" t="n"/>
      <c r="C100" s="26" t="n"/>
      <c r="D100" s="26" t="n"/>
      <c r="E100" s="26" t="n"/>
      <c r="F100" s="26" t="n"/>
      <c r="G100" s="16" t="n"/>
      <c r="H100" s="16" t="n"/>
      <c r="I100" s="18">
        <f>IF(OR(C100="",D100=""),"",IF(D100&lt;C100,"",D100-C100+1))</f>
        <v/>
      </c>
      <c r="J100" s="18">
        <f>IF(COUNTA(A100:H100)=0,"",IF(OR(A100="",B100="",C100="",D100="",G100=""),"Missing required fields",IF(COUNTIFS($A$6:$A$101,A100,$B$6:$B$101,B100)&gt;1,"Duplicate term",IF(D100&lt;C100,"Term end before start",IF(AND(OR(E100&lt;&gt;"",F100&lt;&gt;""),OR(E100="",F100="")),"Complete both instruction dates",IF(AND(E100&lt;&gt;"",F100&lt;&gt;"",F100&lt;E100),"Instruction end before start",IF(AND(E100&lt;&gt;"",F100&lt;&gt;"",OR(E100&lt;C100,F100&gt;D100)),"Instruction dates outside term","")))))))</f>
        <v/>
      </c>
    </row>
    <row r="101">
      <c r="A101" s="16" t="n"/>
      <c r="B101" s="16" t="n"/>
      <c r="C101" s="26" t="n"/>
      <c r="D101" s="26" t="n"/>
      <c r="E101" s="26" t="n"/>
      <c r="F101" s="26" t="n"/>
      <c r="G101" s="16" t="n"/>
      <c r="H101" s="16" t="n"/>
      <c r="I101" s="18">
        <f>IF(OR(C101="",D101=""),"",IF(D101&lt;C101,"",D101-C101+1))</f>
        <v/>
      </c>
      <c r="J101" s="18">
        <f>IF(COUNTA(A101:H101)=0,"",IF(OR(A101="",B101="",C101="",D101="",G101=""),"Missing required fields",IF(COUNTIFS($A$6:$A$101,A101,$B$6:$B$101,B101)&gt;1,"Duplicate term",IF(D101&lt;C101,"Term end before start",IF(AND(OR(E101&lt;&gt;"",F101&lt;&gt;""),OR(E101="",F101="")),"Complete both instruction dates",IF(AND(E101&lt;&gt;"",F101&lt;&gt;"",F101&lt;E101),"Instruction end before start",IF(AND(E101&lt;&gt;"",F101&lt;&gt;"",OR(E101&lt;C101,F101&gt;D101)),"Instruction dates outside term","")))))))</f>
        <v/>
      </c>
    </row>
  </sheetData>
  <mergeCells count="1">
    <mergeCell ref="A1:J1"/>
  </mergeCells>
  <conditionalFormatting sqref="J6:J101">
    <cfRule type="expression" priority="1" dxfId="0" stopIfTrue="1">
      <formula>J6&lt;&gt;""</formula>
    </cfRule>
  </conditionalFormatting>
  <conditionalFormatting sqref="G6:G101">
    <cfRule type="expression" priority="2" dxfId="2">
      <formula>G6="Published"</formula>
    </cfRule>
  </conditionalFormatting>
  <conditionalFormatting sqref="A6:J101">
    <cfRule type="expression" priority="3" dxfId="6">
      <formula>$G6="Archived"</formula>
    </cfRule>
  </conditionalFormatting>
  <dataValidations count="3">
    <dataValidation sqref="A6:A101" showDropDown="0" showInputMessage="0" showErrorMessage="0" allowBlank="0" type="custom">
      <formula1>=OR(A6="",AND(LEN(A6)=9,MID(A6,5,1)="-",ISNUMBER(VALUE(LEFT(A6,4))),ISNUMBER(VALUE(RIGHT(A6,4))),VALUE(RIGHT(A6,4))=VALUE(LEFT(A6,4))+1))</formula1>
    </dataValidation>
    <dataValidation sqref="C6:F101" showDropDown="0" showInputMessage="0" showErrorMessage="0" allowBlank="0" type="date" operator="between">
      <formula1>DATE(2020,1,1)</formula1>
      <formula2>DATE(2035,12,31)</formula2>
    </dataValidation>
    <dataValidation sqref="G6:G101" showDropDown="0" showInputMessage="0" showErrorMessage="0" allowBlank="0" type="list">
      <formula1>"Planning,Published,Archived"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6"/>
  <sheetViews>
    <sheetView showGridLines="0" workbookViewId="0">
      <selection activeCell="A1" sqref="A1"/>
    </sheetView>
  </sheetViews>
  <sheetFormatPr baseColWidth="8" defaultRowHeight="18"/>
  <cols>
    <col width="24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</cols>
  <sheetData>
    <row r="1" ht="26" customHeight="1">
      <c r="A1" s="1" t="inlineStr">
        <is>
          <t>Instructions</t>
        </is>
      </c>
    </row>
    <row r="3">
      <c r="A3" s="19" t="inlineStr">
        <is>
          <t>About This Workbook</t>
        </is>
      </c>
    </row>
    <row r="4" ht="28" customHeight="1">
      <c r="A4" s="20" t="inlineStr">
        <is>
          <t>Use this workbook to plan academic terms, deadlines, instructional milestones, closures, assessments, and related events for Pine Ridge Learning Institute. All included names and records are fictional examples.</t>
        </is>
      </c>
      <c r="B4" s="27" t="n"/>
      <c r="C4" s="27" t="n"/>
      <c r="D4" s="27" t="n"/>
      <c r="E4" s="27" t="n"/>
      <c r="F4" s="28" t="n"/>
    </row>
    <row r="6">
      <c r="A6" s="19" t="inlineStr">
        <is>
          <t>Recommended Workflow</t>
        </is>
      </c>
    </row>
    <row r="7" ht="28" customHeight="1">
      <c r="A7" s="20" t="inlineStr">
        <is>
          <t>1. Review or update term dates on the Academic Terms sheet.</t>
        </is>
      </c>
      <c r="B7" s="27" t="n"/>
      <c r="C7" s="27" t="n"/>
      <c r="D7" s="27" t="n"/>
      <c r="E7" s="27" t="n"/>
      <c r="F7" s="28" t="n"/>
    </row>
    <row r="8" ht="28" customHeight="1">
      <c r="A8" s="20" t="inlineStr">
        <is>
          <t>2. Enter calendar events on the Calendar Events sheet.</t>
        </is>
      </c>
      <c r="B8" s="27" t="n"/>
      <c r="C8" s="27" t="n"/>
      <c r="D8" s="27" t="n"/>
      <c r="E8" s="27" t="n"/>
      <c r="F8" s="28" t="n"/>
    </row>
    <row r="9" ht="28" customHeight="1">
      <c r="A9" s="20" t="inlineStr">
        <is>
          <t>3. Use the Review Alert column to correct missing fields, date issues, duplicate IDs, term exceptions, and owner conflicts.</t>
        </is>
      </c>
      <c r="B9" s="27" t="n"/>
      <c r="C9" s="27" t="n"/>
      <c r="D9" s="27" t="n"/>
      <c r="E9" s="27" t="n"/>
      <c r="F9" s="28" t="n"/>
    </row>
    <row r="10" ht="28" customHeight="1">
      <c r="A10" s="20" t="inlineStr">
        <is>
          <t>4. Set the academic year, as-of date, and lookahead period on the Dashboard.</t>
        </is>
      </c>
      <c r="B10" s="27" t="n"/>
      <c r="C10" s="27" t="n"/>
      <c r="D10" s="27" t="n"/>
      <c r="E10" s="27" t="n"/>
      <c r="F10" s="28" t="n"/>
    </row>
    <row r="11" ht="28" customHeight="1">
      <c r="A11" s="20" t="inlineStr">
        <is>
          <t>5. Choose a month on the Month View sheet to review daily event volume.</t>
        </is>
      </c>
      <c r="B11" s="27" t="n"/>
      <c r="C11" s="27" t="n"/>
      <c r="D11" s="27" t="n"/>
      <c r="E11" s="27" t="n"/>
      <c r="F11" s="28" t="n"/>
    </row>
    <row r="13">
      <c r="A13" s="19" t="inlineStr">
        <is>
          <t>Input Color Key</t>
        </is>
      </c>
    </row>
    <row r="14" ht="28" customHeight="1">
      <c r="A14" s="20" t="inlineStr">
        <is>
          <t>Blue cells identify user-entered settings or data.</t>
        </is>
      </c>
      <c r="B14" s="27" t="n"/>
      <c r="C14" s="27" t="n"/>
      <c r="D14" s="27" t="n"/>
      <c r="E14" s="27" t="n"/>
      <c r="F14" s="28" t="n"/>
    </row>
    <row r="15" ht="28" customHeight="1">
      <c r="A15" s="20" t="inlineStr">
        <is>
          <t>Gray cells identify calculated formulas.</t>
        </is>
      </c>
      <c r="B15" s="27" t="n"/>
      <c r="C15" s="27" t="n"/>
      <c r="D15" s="27" t="n"/>
      <c r="E15" s="27" t="n"/>
      <c r="F15" s="28" t="n"/>
    </row>
    <row r="16" ht="28" customHeight="1">
      <c r="A16" s="20" t="inlineStr">
        <is>
          <t>Yellow cells identify warnings or upcoming items.</t>
        </is>
      </c>
      <c r="B16" s="27" t="n"/>
      <c r="C16" s="27" t="n"/>
      <c r="D16" s="27" t="n"/>
      <c r="E16" s="27" t="n"/>
      <c r="F16" s="28" t="n"/>
    </row>
    <row r="17" ht="28" customHeight="1">
      <c r="A17" s="20" t="inlineStr">
        <is>
          <t>Red cells identify errors or items requiring review.</t>
        </is>
      </c>
      <c r="B17" s="27" t="n"/>
      <c r="C17" s="27" t="n"/>
      <c r="D17" s="27" t="n"/>
      <c r="E17" s="27" t="n"/>
      <c r="F17" s="28" t="n"/>
    </row>
    <row r="18" ht="28" customHeight="1">
      <c r="A18" s="20" t="inlineStr">
        <is>
          <t>Green cells identify completed or published items.</t>
        </is>
      </c>
      <c r="B18" s="27" t="n"/>
      <c r="C18" s="27" t="n"/>
      <c r="D18" s="27" t="n"/>
      <c r="E18" s="27" t="n"/>
      <c r="F18" s="28" t="n"/>
    </row>
    <row r="21">
      <c r="A21" s="19" t="inlineStr">
        <is>
          <t>Field Guidance</t>
        </is>
      </c>
    </row>
    <row r="22" ht="28" customHeight="1">
      <c r="A22" s="20" t="inlineStr">
        <is>
          <t>Event ID: Enter a unique identifier such as EVT-2027-011.</t>
        </is>
      </c>
      <c r="B22" s="27" t="n"/>
      <c r="C22" s="27" t="n"/>
      <c r="D22" s="27" t="n"/>
      <c r="E22" s="27" t="n"/>
      <c r="F22" s="28" t="n"/>
    </row>
    <row r="23" ht="28" customHeight="1">
      <c r="A23" s="20" t="inlineStr">
        <is>
          <t>Academic Year: Use the format 2026-2027.</t>
        </is>
      </c>
      <c r="B23" s="27" t="n"/>
      <c r="C23" s="27" t="n"/>
      <c r="D23" s="27" t="n"/>
      <c r="E23" s="27" t="n"/>
      <c r="F23" s="28" t="n"/>
    </row>
    <row r="24" ht="28" customHeight="1">
      <c r="A24" s="20" t="inlineStr">
        <is>
          <t>Term: Select a term defined on the Academic Terms sheet.</t>
        </is>
      </c>
      <c r="B24" s="27" t="n"/>
      <c r="C24" s="27" t="n"/>
      <c r="D24" s="27" t="n"/>
      <c r="E24" s="27" t="n"/>
      <c r="F24" s="28" t="n"/>
    </row>
    <row r="25" ht="28" customHeight="1">
      <c r="A25" s="20" t="inlineStr">
        <is>
          <t>Start Date and End Date: Use the complete inclusive event date range.</t>
        </is>
      </c>
      <c r="B25" s="27" t="n"/>
      <c r="C25" s="27" t="n"/>
      <c r="D25" s="27" t="n"/>
      <c r="E25" s="27" t="n"/>
      <c r="F25" s="28" t="n"/>
    </row>
    <row r="26" ht="28" customHeight="1">
      <c r="A26" s="20" t="inlineStr">
        <is>
          <t>Owner: Use a department or operational team when possible instead of a person's name.</t>
        </is>
      </c>
      <c r="B26" s="27" t="n"/>
      <c r="C26" s="27" t="n"/>
      <c r="D26" s="27" t="n"/>
      <c r="E26" s="27" t="n"/>
      <c r="F26" s="28" t="n"/>
    </row>
    <row r="27" ht="28" customHeight="1">
      <c r="A27" s="20" t="inlineStr">
        <is>
          <t>Status: Use Planned, Confirmed, Completed, or Cancelled.</t>
        </is>
      </c>
      <c r="B27" s="27" t="n"/>
      <c r="C27" s="27" t="n"/>
      <c r="D27" s="27" t="n"/>
      <c r="E27" s="27" t="n"/>
      <c r="F27" s="28" t="n"/>
    </row>
    <row r="28" ht="28" customHeight="1">
      <c r="A28" s="20" t="inlineStr">
        <is>
          <t>Outside Term?: Yes means the event starts before or ends after the selected term boundary.</t>
        </is>
      </c>
      <c r="B28" s="27" t="n"/>
      <c r="C28" s="27" t="n"/>
      <c r="D28" s="27" t="n"/>
      <c r="E28" s="27" t="n"/>
      <c r="F28" s="28" t="n"/>
    </row>
    <row r="29" ht="28" customHeight="1">
      <c r="A29" s="20" t="inlineStr">
        <is>
          <t>Owner Conflict?: Yes means the same owner has another overlapping, non-cancelled event.</t>
        </is>
      </c>
      <c r="B29" s="27" t="n"/>
      <c r="C29" s="27" t="n"/>
      <c r="D29" s="27" t="n"/>
      <c r="E29" s="27" t="n"/>
      <c r="F29" s="28" t="n"/>
    </row>
    <row r="30" ht="28" customHeight="1">
      <c r="A30" s="20" t="inlineStr">
        <is>
          <t>Review Alert: Correct or confirm the displayed issue before publishing the calendar.</t>
        </is>
      </c>
      <c r="B30" s="27" t="n"/>
      <c r="C30" s="27" t="n"/>
      <c r="D30" s="27" t="n"/>
      <c r="E30" s="27" t="n"/>
      <c r="F30" s="28" t="n"/>
    </row>
    <row r="32">
      <c r="A32" s="19" t="inlineStr">
        <is>
          <t>Important Limitations</t>
        </is>
      </c>
    </row>
    <row r="33" ht="28" customHeight="1">
      <c r="A33" s="20" t="inlineStr">
        <is>
          <t>The workbook counts calendar days, not instructional days or business days.</t>
        </is>
      </c>
      <c r="B33" s="27" t="n"/>
      <c r="C33" s="27" t="n"/>
      <c r="D33" s="27" t="n"/>
      <c r="E33" s="27" t="n"/>
      <c r="F33" s="28" t="n"/>
    </row>
    <row r="34" ht="28" customHeight="1">
      <c r="A34" s="20" t="inlineStr">
        <is>
          <t>Owner conflicts identify overlapping date ranges but do not determine whether the overlap is operationally acceptable.</t>
        </is>
      </c>
      <c r="B34" s="27" t="n"/>
      <c r="C34" s="27" t="n"/>
      <c r="D34" s="27" t="n"/>
      <c r="E34" s="27" t="n"/>
      <c r="F34" s="28" t="n"/>
    </row>
    <row r="35" ht="28" customHeight="1">
      <c r="A35" s="20" t="inlineStr">
        <is>
          <t>The Month View identifies dates but does not display every event name.</t>
        </is>
      </c>
      <c r="B35" s="27" t="n"/>
      <c r="C35" s="27" t="n"/>
      <c r="D35" s="27" t="n"/>
      <c r="E35" s="27" t="n"/>
      <c r="F35" s="28" t="n"/>
    </row>
    <row r="36" ht="28" customHeight="1">
      <c r="A36" s="20" t="inlineStr">
        <is>
          <t>This workbook is an operational planning tool and does not provide legal, regulatory, accreditation, or compliance guidance.</t>
        </is>
      </c>
      <c r="B36" s="27" t="n"/>
      <c r="C36" s="27" t="n"/>
      <c r="D36" s="27" t="n"/>
      <c r="E36" s="27" t="n"/>
      <c r="F36" s="28" t="n"/>
    </row>
  </sheetData>
  <mergeCells count="25">
    <mergeCell ref="A16:F16"/>
    <mergeCell ref="A27:F27"/>
    <mergeCell ref="A18:F18"/>
    <mergeCell ref="A26:F26"/>
    <mergeCell ref="A33:F33"/>
    <mergeCell ref="A14:F14"/>
    <mergeCell ref="A23:F23"/>
    <mergeCell ref="A8:F8"/>
    <mergeCell ref="A22:F22"/>
    <mergeCell ref="A17:F17"/>
    <mergeCell ref="A35:F35"/>
    <mergeCell ref="A4:F4"/>
    <mergeCell ref="A29:F29"/>
    <mergeCell ref="A10:F10"/>
    <mergeCell ref="A28:F28"/>
    <mergeCell ref="A9:F9"/>
    <mergeCell ref="A34:F34"/>
    <mergeCell ref="A30:F30"/>
    <mergeCell ref="A15:F15"/>
    <mergeCell ref="A24:F24"/>
    <mergeCell ref="A11:F11"/>
    <mergeCell ref="A36:F36"/>
    <mergeCell ref="A1:F1"/>
    <mergeCell ref="A7:F7"/>
    <mergeCell ref="A25:F2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2026-09-07T08:15:54Z</dcterms:created>
  <dcterms:modified xmlns:dcterms="http://purl.org/dc/terms/" xmlns:xsi="http://www.w3.org/2001/XMLSchema-instance" xsi:type="dcterms:W3CDTF">2026-09-07T08:15:55+00:00Z</dcterms:modified>
</cp:coreProperties>
</file>